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WANG\Desktop\"/>
    </mc:Choice>
  </mc:AlternateContent>
  <xr:revisionPtr revIDLastSave="0" documentId="13_ncr:1_{1675B89F-AE3B-499D-AEDF-6B0DFF0E2A39}" xr6:coauthVersionLast="40" xr6:coauthVersionMax="40" xr10:uidLastSave="{00000000-0000-0000-0000-000000000000}"/>
  <bookViews>
    <workbookView xWindow="0" yWindow="0" windowWidth="13545" windowHeight="1173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E30" i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E26" i="1"/>
  <c r="H25" i="1"/>
  <c r="F25" i="1"/>
  <c r="CN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CN120" i="2"/>
  <c r="CD120" i="2" s="1"/>
  <c r="J41" i="1"/>
  <c r="CI106" i="2" s="1"/>
  <c r="R28" i="1"/>
  <c r="R40" i="1"/>
  <c r="K28" i="1"/>
  <c r="O28" i="1" s="1"/>
  <c r="CN66" i="2"/>
  <c r="CD66" i="2" s="1"/>
  <c r="K45" i="1"/>
  <c r="O45" i="1" s="1"/>
  <c r="R42" i="1"/>
  <c r="CN44" i="2"/>
  <c r="R27" i="1"/>
  <c r="CN62" i="2"/>
  <c r="BO18" i="2"/>
  <c r="CN86" i="2"/>
  <c r="R31" i="1"/>
  <c r="O4" i="5"/>
  <c r="E37" i="3"/>
  <c r="J6" i="1"/>
  <c r="J32" i="1"/>
  <c r="Q7" i="5"/>
  <c r="Q4" i="5"/>
  <c r="CN32" i="2"/>
  <c r="CN78" i="2"/>
  <c r="E38" i="3"/>
  <c r="R37" i="1" l="1"/>
  <c r="CN76" i="2"/>
  <c r="J21" i="1"/>
  <c r="Q21" i="1" s="1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J10" i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O6" i="5"/>
  <c r="S78" i="2"/>
  <c r="V78" i="2"/>
  <c r="Y78" i="2"/>
  <c r="S88" i="2"/>
  <c r="V88" i="2"/>
  <c r="S98" i="2"/>
  <c r="Y88" i="2"/>
  <c r="V98" i="2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D86" i="2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Q10" i="1"/>
  <c r="K10" i="1"/>
  <c r="O10" i="1" s="1"/>
  <c r="Q31" i="1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K26" i="1" s="1"/>
  <c r="O26" i="1" s="1"/>
  <c r="J18" i="1"/>
  <c r="J27" i="1"/>
  <c r="J40" i="1"/>
  <c r="J23" i="1"/>
  <c r="K13" i="1"/>
  <c r="O13" i="1" s="1"/>
  <c r="CI50" i="2"/>
  <c r="K32" i="1"/>
  <c r="O32" i="1" s="1"/>
  <c r="CI88" i="2"/>
  <c r="K6" i="1"/>
  <c r="O6" i="1" s="1"/>
  <c r="CI36" i="2"/>
  <c r="CD36" i="2" s="1"/>
  <c r="D8" i="3" s="1"/>
  <c r="C29" i="3" s="1"/>
  <c r="Q6" i="1"/>
  <c r="CI44" i="2"/>
  <c r="CD44" i="2" s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J29" i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7" i="1" l="1"/>
  <c r="Q33" i="1"/>
  <c r="Q4" i="1"/>
  <c r="K9" i="1"/>
  <c r="O9" i="1" s="1"/>
  <c r="Q9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CD76" i="2" s="1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CD74" i="2" s="1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V5" i="1"/>
  <c r="AA5" i="1" s="1"/>
  <c r="AD4" i="1"/>
  <c r="M8" i="1"/>
  <c r="T6" i="1" s="1"/>
  <c r="Y6" i="1" s="1"/>
  <c r="L9" i="1"/>
  <c r="AD5" i="1"/>
  <c r="U6" i="1" l="1"/>
  <c r="Z6" i="1" s="1"/>
  <c r="AD6" i="1" s="1"/>
  <c r="X6" i="1"/>
  <c r="AC6" i="1" s="1"/>
  <c r="V6" i="1"/>
  <c r="AA6" i="1" s="1"/>
  <c r="W6" i="1"/>
  <c r="AB6" i="1" s="1"/>
  <c r="M9" i="1"/>
  <c r="L10" i="1"/>
  <c r="V7" i="1"/>
  <c r="AA7" i="1" s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<sst xmlns="http://schemas.openxmlformats.org/spreadsheetml/2006/main" count="651" uniqueCount="330">
  <si>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</si>
  <si>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</si>
  <si>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</si>
  <si>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</si>
  <si>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</si>
  <si>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</si>
  <si>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</si>
  <si>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</si>
  <si>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</si>
  <si>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</si>
  <si>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</si>
  <si>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</si>
  <si>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</si>
  <si>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</si>
  <si>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</si>
  <si>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</si>
  <si>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</si>
  <si>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</si>
  <si>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</si>
  <si>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</si>
  <si>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</si>
  <si>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</si>
  <si>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</si>
  <si>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</si>
  <si>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</si>
  <si>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</si>
  <si>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</si>
  <si>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</si>
  <si>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</si>
  <si>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</si>
  <si>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</si>
  <si>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</si>
  <si>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</si>
  <si>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</si>
  <si>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</si>
  <si>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</si>
  <si>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</si>
  <si>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</si>
  <si>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</si>
  <si>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</si>
  <si>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</si>
  <si>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</si>
  <si>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</si>
  <si>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</si>
  <si>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</si>
  <si>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</si>
  <si>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</si>
  <si>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</si>
  <si>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</si>
  <si>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</si>
  <si>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</si>
  <si>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</si>
  <si>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</si>
  <si>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</si>
  <si>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</si>
  <si>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</si>
  <si>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</si>
  <si>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</si>
  <si>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</si>
  <si>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</si>
  <si>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</si>
  <si>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</si>
  <si>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</si>
  <si>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</si>
  <si>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</si>
  <si>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</si>
  <si>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</si>
  <si>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</si>
  <si>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</si>
  <si>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</si>
  <si>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</si>
  <si>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</si>
  <si>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</si>
  <si>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</si>
  <si>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</si>
  <si>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</si>
  <si>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</si>
  <si>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</si>
  <si>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</si>
  <si>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</si>
  <si>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</si>
  <si>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</si>
  <si>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</si>
  <si>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</si>
  <si>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</si>
  <si>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</si>
  <si>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</si>
  <si>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</si>
  <si>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</si>
  <si>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</si>
  <si>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</si>
  <si>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</si>
  <si>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</si>
  <si>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</si>
  <si>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</si>
  <si>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</si>
  <si>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</si>
  <si>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</si>
  <si>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</si>
  <si>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</si>
  <si>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</si>
  <si>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</si>
  <si>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</si>
  <si>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</si>
  <si>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</si>
  <si>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</si>
  <si>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</si>
  <si>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</si>
  <si>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</si>
  <si>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</si>
  <si>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</si>
  <si>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</si>
  <si>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</si>
  <si>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</si>
  <si>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</si>
  <si>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</si>
  <si>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</si>
  <si>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</si>
  <si>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</si>
  <si>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</si>
  <si>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</si>
  <si>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</si>
  <si>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</si>
  <si>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</si>
  <si>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</si>
  <si>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</si>
  <si>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</si>
  <si>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</si>
  <si>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</si>
  <si>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</si>
  <si>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</si>
  <si>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</si>
  <si>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</si>
  <si>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</si>
  <si>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</si>
  <si>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</si>
  <si>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</si>
  <si>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</si>
  <si>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</si>
  <si>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</si>
  <si>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</si>
  <si>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</si>
  <si>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</si>
  <si>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</si>
  <si>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</si>
  <si>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</si>
  <si>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</si>
  <si>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</si>
  <si>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</si>
  <si>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</si>
  <si>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</si>
  <si>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</si>
  <si>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</si>
  <si>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</si>
  <si>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</si>
  <si>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</si>
  <si>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</si>
  <si>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</si>
  <si>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</si>
  <si>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</si>
  <si>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</si>
  <si>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</si>
  <si>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</si>
  <si>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</si>
  <si>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</si>
  <si>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</si>
  <si>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</si>
  <si>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</si>
  <si>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</si>
  <si>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</si>
  <si>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</si>
  <si>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</si>
  <si>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</si>
  <si>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</si>
  <si>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</si>
  <si>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</si>
  <si>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</si>
  <si>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</si>
  <si>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</si>
  <si>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</si>
  <si>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</si>
  <si>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</si>
  <si>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</si>
  <si>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</si>
  <si>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</si>
  <si>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</si>
  <si>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</si>
  <si>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</si>
  <si>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</si>
  <si>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</si>
  <si>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</si>
  <si>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</si>
  <si>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</si>
  <si>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</si>
  <si>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</si>
  <si>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</si>
  <si>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</si>
  <si>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</si>
  <si>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</si>
  <si>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</si>
  <si>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</si>
  <si>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</si>
  <si>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</si>
  <si>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</si>
  <si>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</si>
  <si>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</si>
  <si>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</si>
  <si>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</si>
  <si>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</si>
  <si>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</si>
  <si>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</si>
  <si>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</si>
  <si>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</si>
  <si>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</si>
  <si>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</si>
  <si>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</si>
  <si>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</si>
  <si>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</si>
  <si>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</si>
  <si>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</si>
  <si>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</si>
  <si>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</si>
  <si>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</si>
  <si>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</si>
  <si>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</si>
  <si>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</si>
  <si>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</si>
  <si>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</si>
  <si>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</si>
  <si>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</si>
  <si>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</si>
  <si>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</si>
  <si>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</si>
  <si>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</si>
  <si>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</si>
  <si>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</si>
  <si>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</si>
  <si>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</si>
  <si>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</si>
  <si>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</si>
  <si>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</si>
  <si>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</si>
  <si>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</si>
  <si>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</si>
  <si>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</si>
  <si>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</si>
  <si>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</si>
  <si>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</si>
  <si>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</si>
  <si>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</si>
  <si>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</si>
  <si>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</si>
  <si>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</si>
  <si>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</si>
  <si>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</si>
  <si>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</si>
  <si>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</si>
  <si>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</si>
  <si>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</si>
  <si>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</si>
  <si>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</si>
  <si>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</si>
  <si>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</si>
  <si>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</si>
  <si>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</si>
  <si>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</si>
  <si>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</si>
  <si>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</si>
  <si>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</si>
  <si>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</si>
  <si>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</si>
  <si>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</si>
  <si>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</si>
  <si>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</si>
  <si>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</si>
  <si>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</si>
  <si>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</si>
  <si>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</si>
  <si>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</si>
  <si>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</si>
  <si>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</si>
  <si>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</si>
  <si>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</si>
  <si>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</si>
  <si>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</si>
  <si>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</si>
  <si>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</si>
  <si>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</si>
  <si>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</si>
  <si>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</si>
  <si>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</si>
  <si>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</si>
  <si>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</si>
  <si>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</si>
  <si>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</si>
  <si>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</si>
  <si>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</si>
  <si>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</si>
  <si>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</si>
  <si>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</si>
  <si>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</si>
  <si>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</si>
  <si>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</si>
  <si>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</si>
  <si>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</si>
  <si>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</si>
  <si>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</si>
  <si>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</si>
  <si>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</si>
  <si>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</si>
  <si>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</si>
  <si>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</si>
  <si>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</si>
  <si>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</si>
  <si>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</si>
  <si>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</si>
  <si>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</si>
  <si>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</si>
  <si>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Bluff &amp; Intimidate (&amp; Innuendo)</t>
  </si>
  <si>
    <t>Search &amp; Scry</t>
  </si>
  <si>
    <t>Lightening Reflexes</t>
  </si>
  <si>
    <t>Skill Focus (Deception)</t>
  </si>
  <si>
    <t>Armor Proiciency (Light)</t>
  </si>
  <si>
    <t>Knowledge (Geography )</t>
  </si>
  <si>
    <t>Profession ( Farmer )</t>
  </si>
  <si>
    <t>Profession ( Border Guard )</t>
  </si>
  <si>
    <t>Bow</t>
  </si>
  <si>
    <t>Starting</t>
  </si>
  <si>
    <t>Cardin Oblern</t>
  </si>
  <si>
    <t>Rogue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</si>
</sst>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D18" sqref="D18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328</v>
      </c>
      <c r="D1" s="7" t="s">
        <v>1</v>
      </c>
      <c r="E1" s="151" t="s">
        <v>329</v>
      </c>
      <c r="AG1" s="9" t="s">
        <v>300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320</v>
      </c>
      <c r="B3" s="20">
        <f t="shared" ref="B3:B52" si="0">IF(A3="",0,5)</f>
        <v>5</v>
      </c>
      <c r="C3" s="108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2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2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2,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2, Climb/Jump* 0, Craft ( Tools ) 2, Craft ( B ) 2, Craft ( C ) 2, Craft ( D ) 2, Deception 7, Diplomacy 7, Disguise 3, Escape Artist* 2, Forgery 2, Heal 1, Knowledge (Geography ) 5, Perception 1, Perform 3, Profession ( Farmer ) 5, Profession ( Border Guard ) 5, Ride 4, Search 2, Sense Motive 5, Stealth* 6, Swim 0, Urban Lore 4, Use Rope 3, Wilderness Lore 3, </v>
      </c>
      <c r="AF3" s="27"/>
      <c r="AG3" s="1" t="s">
        <v>293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1" t="s">
        <v>321</v>
      </c>
      <c r="B4" s="20">
        <f t="shared" si="0"/>
        <v>5</v>
      </c>
      <c r="C4" s="107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203"/>
      <c r="AF4" s="27"/>
      <c r="AG4" s="1" t="s">
        <v>326</v>
      </c>
      <c r="AH4" s="4">
        <v>2</v>
      </c>
      <c r="AI4" s="20">
        <f t="shared" ref="AI4:AI16" si="22">AH4*2</f>
        <v>4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322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2</v>
      </c>
      <c r="K5" s="25">
        <f t="shared" si="1"/>
        <v>2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2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2</v>
      </c>
      <c r="V5" s="26" t="str">
        <f t="shared" si="10"/>
        <v>INT</v>
      </c>
      <c r="W5" s="25">
        <f t="shared" si="11"/>
        <v>2</v>
      </c>
      <c r="X5" s="26">
        <f t="shared" si="12"/>
        <v>0</v>
      </c>
      <c r="Y5" s="26" t="str">
        <f t="shared" si="17"/>
        <v>Craft ( Tools )</v>
      </c>
      <c r="Z5" s="25">
        <f t="shared" si="18"/>
        <v>2</v>
      </c>
      <c r="AA5" s="26" t="str">
        <f t="shared" si="19"/>
        <v>INT</v>
      </c>
      <c r="AB5" s="25">
        <f t="shared" si="20"/>
        <v>2</v>
      </c>
      <c r="AC5" s="26">
        <f t="shared" si="21"/>
        <v>0</v>
      </c>
      <c r="AD5" s="25" t="str">
        <f t="shared" si="13"/>
        <v xml:space="preserve">Craft ( Tools ) 2,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B6" s="20">
        <f t="shared" si="0"/>
        <v>0</v>
      </c>
      <c r="C6" s="108" t="s">
        <v>227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2</v>
      </c>
      <c r="V6" s="26" t="str">
        <f t="shared" si="10"/>
        <v>INT</v>
      </c>
      <c r="W6" s="25">
        <f t="shared" si="11"/>
        <v>2</v>
      </c>
      <c r="X6" s="26">
        <f t="shared" si="12"/>
        <v>0</v>
      </c>
      <c r="Y6" s="26" t="str">
        <f t="shared" si="17"/>
        <v>Craft ( B )</v>
      </c>
      <c r="Z6" s="25">
        <f t="shared" si="18"/>
        <v>2</v>
      </c>
      <c r="AA6" s="26" t="str">
        <f t="shared" si="19"/>
        <v>INT</v>
      </c>
      <c r="AB6" s="25">
        <f t="shared" si="20"/>
        <v>2</v>
      </c>
      <c r="AC6" s="26">
        <f t="shared" si="21"/>
        <v>0</v>
      </c>
      <c r="AD6" s="25" t="str">
        <f t="shared" si="13"/>
        <v xml:space="preserve">Craft ( B ) 2,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L6" s="4">
        <v>2</v>
      </c>
      <c r="AM6" s="28"/>
    </row>
    <row r="7" spans="1:41" ht="12.75" customHeight="1" x14ac:dyDescent="0.2">
      <c r="A7"/>
      <c r="B7" s="20">
        <f t="shared" si="0"/>
        <v>0</v>
      </c>
      <c r="C7" s="21" t="s">
        <v>294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2</v>
      </c>
      <c r="K7" s="25">
        <f t="shared" si="1"/>
        <v>2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2</v>
      </c>
      <c r="P7" s="26" t="str">
        <f t="shared" si="5"/>
        <v>INT</v>
      </c>
      <c r="Q7" s="25">
        <f t="shared" si="6"/>
        <v>2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2</v>
      </c>
      <c r="K8" s="25">
        <f t="shared" si="1"/>
        <v>2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2</v>
      </c>
      <c r="P8" s="26" t="str">
        <f t="shared" si="5"/>
        <v>INT</v>
      </c>
      <c r="Q8" s="25">
        <f t="shared" si="6"/>
        <v>2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7</v>
      </c>
      <c r="V9" s="26" t="str">
        <f t="shared" si="10"/>
        <v>CHA</v>
      </c>
      <c r="W9" s="25">
        <f t="shared" si="11"/>
        <v>3</v>
      </c>
      <c r="X9" s="26">
        <f t="shared" si="12"/>
        <v>4</v>
      </c>
      <c r="Y9" s="26" t="str">
        <f t="shared" si="17"/>
        <v>Deception</v>
      </c>
      <c r="Z9" s="25">
        <f t="shared" si="18"/>
        <v>7</v>
      </c>
      <c r="AA9" s="26" t="str">
        <f t="shared" si="19"/>
        <v>CHA</v>
      </c>
      <c r="AB9" s="25">
        <f t="shared" si="20"/>
        <v>3</v>
      </c>
      <c r="AC9" s="26">
        <f t="shared" si="21"/>
        <v>4</v>
      </c>
      <c r="AD9" s="25" t="str">
        <f t="shared" si="13"/>
        <v xml:space="preserve">Deception 7,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7</v>
      </c>
      <c r="V10" s="26" t="str">
        <f t="shared" si="10"/>
        <v>CHA</v>
      </c>
      <c r="W10" s="25">
        <f t="shared" si="11"/>
        <v>3</v>
      </c>
      <c r="X10" s="26">
        <f t="shared" si="12"/>
        <v>4</v>
      </c>
      <c r="Y10" s="26" t="str">
        <f t="shared" si="17"/>
        <v>Diplomacy</v>
      </c>
      <c r="Z10" s="25">
        <f t="shared" si="18"/>
        <v>7</v>
      </c>
      <c r="AA10" s="26" t="str">
        <f t="shared" si="19"/>
        <v>CHA</v>
      </c>
      <c r="AB10" s="25">
        <f t="shared" si="20"/>
        <v>3</v>
      </c>
      <c r="AC10" s="26">
        <f t="shared" si="21"/>
        <v>4</v>
      </c>
      <c r="AD10" s="25" t="str">
        <f t="shared" si="13"/>
        <v xml:space="preserve">Diplomacy 7,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46</v>
      </c>
      <c r="J11" s="24">
        <f t="shared" si="15"/>
        <v>3</v>
      </c>
      <c r="K11" s="25">
        <f t="shared" si="1"/>
        <v>7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7</v>
      </c>
      <c r="P11" s="26" t="str">
        <f t="shared" si="5"/>
        <v>CHA</v>
      </c>
      <c r="Q11" s="25">
        <f t="shared" si="6"/>
        <v>3</v>
      </c>
      <c r="R11" s="26">
        <f t="shared" si="7"/>
        <v>4</v>
      </c>
      <c r="S11" s="26">
        <v>9</v>
      </c>
      <c r="T11" s="26" t="str">
        <f t="shared" si="8"/>
        <v>Disguise</v>
      </c>
      <c r="U11" s="25">
        <f t="shared" si="9"/>
        <v>3</v>
      </c>
      <c r="V11" s="26" t="str">
        <f t="shared" si="10"/>
        <v>CHA</v>
      </c>
      <c r="W11" s="25">
        <f t="shared" si="11"/>
        <v>3</v>
      </c>
      <c r="X11" s="26">
        <f t="shared" si="12"/>
        <v>0</v>
      </c>
      <c r="Y11" s="26" t="str">
        <f t="shared" si="17"/>
        <v>Disguise</v>
      </c>
      <c r="Z11" s="25">
        <f t="shared" si="18"/>
        <v>3</v>
      </c>
      <c r="AA11" s="26" t="str">
        <f t="shared" si="19"/>
        <v>CHA</v>
      </c>
      <c r="AB11" s="25">
        <f t="shared" si="20"/>
        <v>3</v>
      </c>
      <c r="AC11" s="26">
        <f t="shared" si="21"/>
        <v>0</v>
      </c>
      <c r="AD11" s="25" t="str">
        <f t="shared" si="13"/>
        <v xml:space="preserve">Disguise 3,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46</v>
      </c>
      <c r="J12" s="24">
        <f t="shared" si="15"/>
        <v>3</v>
      </c>
      <c r="K12" s="25">
        <f t="shared" si="1"/>
        <v>7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7</v>
      </c>
      <c r="P12" s="26" t="str">
        <f t="shared" si="5"/>
        <v>CHA</v>
      </c>
      <c r="Q12" s="25">
        <f t="shared" si="6"/>
        <v>3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2</v>
      </c>
      <c r="V12" s="26" t="str">
        <f t="shared" si="10"/>
        <v>DEX</v>
      </c>
      <c r="W12" s="25">
        <f t="shared" si="11"/>
        <v>2</v>
      </c>
      <c r="X12" s="26">
        <f t="shared" si="12"/>
        <v>0</v>
      </c>
      <c r="Y12" s="26" t="str">
        <f t="shared" si="17"/>
        <v>Escape Artist*</v>
      </c>
      <c r="Z12" s="25">
        <f t="shared" si="18"/>
        <v>2</v>
      </c>
      <c r="AA12" s="26" t="str">
        <f t="shared" si="19"/>
        <v>DEX</v>
      </c>
      <c r="AB12" s="25">
        <f t="shared" si="20"/>
        <v>2</v>
      </c>
      <c r="AC12" s="26">
        <f t="shared" si="21"/>
        <v>0</v>
      </c>
      <c r="AD12" s="25" t="str">
        <f t="shared" si="13"/>
        <v xml:space="preserve">Escape Artist* 2,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2</v>
      </c>
      <c r="X13" s="26">
        <f t="shared" si="12"/>
        <v>0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3</v>
      </c>
      <c r="K14" s="25">
        <f t="shared" si="1"/>
        <v>3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3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1</v>
      </c>
      <c r="V14" s="26" t="str">
        <f t="shared" si="10"/>
        <v>WIS</v>
      </c>
      <c r="W14" s="25">
        <f t="shared" si="11"/>
        <v>1</v>
      </c>
      <c r="X14" s="26">
        <f t="shared" si="12"/>
        <v>0</v>
      </c>
      <c r="Y14" s="26" t="str">
        <f t="shared" si="17"/>
        <v>Heal</v>
      </c>
      <c r="Z14" s="25">
        <f t="shared" si="18"/>
        <v>1</v>
      </c>
      <c r="AA14" s="26" t="str">
        <f t="shared" si="19"/>
        <v>WIS</v>
      </c>
      <c r="AB14" s="25">
        <f t="shared" si="20"/>
        <v>1</v>
      </c>
      <c r="AC14" s="26">
        <f t="shared" si="21"/>
        <v>0</v>
      </c>
      <c r="AD14" s="25" t="str">
        <f t="shared" si="13"/>
        <v xml:space="preserve">Heal 1,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>Knowledge (Geography )</v>
      </c>
      <c r="U15" s="25">
        <f t="shared" si="9"/>
        <v>5</v>
      </c>
      <c r="V15" s="26" t="str">
        <f t="shared" si="10"/>
        <v>INT</v>
      </c>
      <c r="W15" s="25">
        <f t="shared" si="11"/>
        <v>2</v>
      </c>
      <c r="X15" s="26">
        <f t="shared" si="12"/>
        <v>3</v>
      </c>
      <c r="Y15" s="26" t="str">
        <f t="shared" si="17"/>
        <v>Knowledge (Geography )</v>
      </c>
      <c r="Z15" s="25">
        <f t="shared" si="18"/>
        <v>5</v>
      </c>
      <c r="AA15" s="26" t="str">
        <f t="shared" si="19"/>
        <v>INT</v>
      </c>
      <c r="AB15" s="25">
        <f t="shared" si="20"/>
        <v>2</v>
      </c>
      <c r="AC15" s="26">
        <f t="shared" si="21"/>
        <v>3</v>
      </c>
      <c r="AD15" s="25" t="str">
        <f t="shared" si="13"/>
        <v xml:space="preserve">Knowledge (Geography )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2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2</v>
      </c>
      <c r="R16" s="26">
        <f t="shared" si="7"/>
        <v>0</v>
      </c>
      <c r="S16" s="26">
        <v>14</v>
      </c>
      <c r="T16" s="26" t="str">
        <f t="shared" si="8"/>
        <v>Perception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Perception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Perception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Perform</v>
      </c>
      <c r="U17" s="25">
        <f t="shared" si="9"/>
        <v>3</v>
      </c>
      <c r="V17" s="26" t="str">
        <f t="shared" si="10"/>
        <v>CHA</v>
      </c>
      <c r="W17" s="25">
        <f t="shared" si="11"/>
        <v>3</v>
      </c>
      <c r="X17" s="26">
        <f t="shared" si="12"/>
        <v>0</v>
      </c>
      <c r="Y17" s="26" t="str">
        <f t="shared" si="17"/>
        <v>Perform</v>
      </c>
      <c r="Z17" s="25">
        <f t="shared" si="18"/>
        <v>3</v>
      </c>
      <c r="AA17" s="26" t="str">
        <f t="shared" si="19"/>
        <v>CHA</v>
      </c>
      <c r="AB17" s="25">
        <f t="shared" si="20"/>
        <v>3</v>
      </c>
      <c r="AC17" s="26">
        <f t="shared" si="21"/>
        <v>0</v>
      </c>
      <c r="AD17" s="25" t="str">
        <f t="shared" si="13"/>
        <v xml:space="preserve">Perform 3,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209</v>
      </c>
      <c r="AR17" t="s">
        <v>210</v>
      </c>
    </row>
    <row r="18" spans="2:44" ht="12.75" customHeight="1" x14ac:dyDescent="0.2">
      <c r="B18" s="20">
        <f t="shared" si="0"/>
        <v>0</v>
      </c>
      <c r="C18" s="3" t="s">
        <v>214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1</v>
      </c>
      <c r="K18" s="25">
        <f t="shared" si="1"/>
        <v>1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Profession ( Farmer )</v>
      </c>
      <c r="U18" s="25">
        <f t="shared" si="9"/>
        <v>5</v>
      </c>
      <c r="V18" s="26" t="str">
        <f t="shared" si="10"/>
        <v>WIS</v>
      </c>
      <c r="W18" s="25">
        <f t="shared" si="11"/>
        <v>1</v>
      </c>
      <c r="X18" s="26">
        <f t="shared" si="12"/>
        <v>4</v>
      </c>
      <c r="Y18" s="26" t="str">
        <f t="shared" si="17"/>
        <v>Profession ( Farmer )</v>
      </c>
      <c r="Z18" s="25">
        <f t="shared" si="18"/>
        <v>5</v>
      </c>
      <c r="AA18" s="26" t="str">
        <f t="shared" si="19"/>
        <v>WIS</v>
      </c>
      <c r="AB18" s="25">
        <f t="shared" si="20"/>
        <v>1</v>
      </c>
      <c r="AC18" s="26">
        <f t="shared" si="21"/>
        <v>4</v>
      </c>
      <c r="AD18" s="25" t="str">
        <f t="shared" si="13"/>
        <v xml:space="preserve">Profession ( Farmer ) 5, </v>
      </c>
      <c r="AE18" s="31"/>
      <c r="AF18" s="27">
        <v>1</v>
      </c>
      <c r="AG18" s="30" t="s">
        <v>327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211</v>
      </c>
      <c r="AR18" t="s">
        <v>318</v>
      </c>
    </row>
    <row r="19" spans="2:44" ht="12.75" customHeight="1" x14ac:dyDescent="0.2">
      <c r="B19" s="20">
        <f t="shared" si="0"/>
        <v>0</v>
      </c>
      <c r="C19" s="3" t="s">
        <v>323</v>
      </c>
      <c r="D19" s="22">
        <v>3</v>
      </c>
      <c r="E19" s="20">
        <f t="shared" si="23"/>
        <v>8</v>
      </c>
      <c r="F19" s="23">
        <f t="shared" si="24"/>
        <v>3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2</v>
      </c>
      <c r="K19" s="25">
        <f t="shared" si="1"/>
        <v>5</v>
      </c>
      <c r="L19" s="26">
        <f t="shared" si="16"/>
        <v>13</v>
      </c>
      <c r="M19" s="26">
        <f t="shared" si="2"/>
        <v>13</v>
      </c>
      <c r="N19" s="26" t="str">
        <f t="shared" si="3"/>
        <v>Knowledge (Geography )</v>
      </c>
      <c r="O19" s="25">
        <f t="shared" si="4"/>
        <v>5</v>
      </c>
      <c r="P19" s="26" t="str">
        <f t="shared" si="5"/>
        <v>INT</v>
      </c>
      <c r="Q19" s="25">
        <f t="shared" si="6"/>
        <v>2</v>
      </c>
      <c r="R19" s="26">
        <f t="shared" si="7"/>
        <v>3</v>
      </c>
      <c r="S19" s="26">
        <v>17</v>
      </c>
      <c r="T19" s="26" t="str">
        <f t="shared" si="8"/>
        <v>Profession ( Border Guard )</v>
      </c>
      <c r="U19" s="25">
        <f t="shared" si="9"/>
        <v>5</v>
      </c>
      <c r="V19" s="26" t="str">
        <f t="shared" si="10"/>
        <v>WIS</v>
      </c>
      <c r="W19" s="25">
        <f t="shared" si="11"/>
        <v>1</v>
      </c>
      <c r="X19" s="26">
        <f t="shared" si="12"/>
        <v>4</v>
      </c>
      <c r="Y19" s="26" t="str">
        <f t="shared" si="17"/>
        <v>Profession ( Border Guard )</v>
      </c>
      <c r="Z19" s="25">
        <f t="shared" si="18"/>
        <v>5</v>
      </c>
      <c r="AA19" s="26" t="str">
        <f t="shared" si="19"/>
        <v>WIS</v>
      </c>
      <c r="AB19" s="25">
        <f t="shared" si="20"/>
        <v>1</v>
      </c>
      <c r="AC19" s="26">
        <f t="shared" si="21"/>
        <v>4</v>
      </c>
      <c r="AD19" s="25" t="str">
        <f t="shared" si="13"/>
        <v xml:space="preserve">Profession ( Border Guard ) 5, </v>
      </c>
      <c r="AE19" s="31"/>
      <c r="AF19" s="27">
        <v>2</v>
      </c>
      <c r="AG19" s="30"/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9" t="s">
        <v>48</v>
      </c>
      <c r="AR19" s="109" t="s">
        <v>220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2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2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4</v>
      </c>
      <c r="V20" s="26" t="str">
        <f t="shared" si="10"/>
        <v>DEX</v>
      </c>
      <c r="W20" s="25">
        <f t="shared" si="11"/>
        <v>2</v>
      </c>
      <c r="X20" s="26">
        <f t="shared" si="12"/>
        <v>2</v>
      </c>
      <c r="Y20" s="26" t="str">
        <f t="shared" si="17"/>
        <v>Ride</v>
      </c>
      <c r="Z20" s="25">
        <f t="shared" si="18"/>
        <v>4</v>
      </c>
      <c r="AA20" s="26" t="str">
        <f t="shared" si="19"/>
        <v>DEX</v>
      </c>
      <c r="AB20" s="25">
        <f t="shared" si="20"/>
        <v>2</v>
      </c>
      <c r="AC20" s="26">
        <f t="shared" si="21"/>
        <v>2</v>
      </c>
      <c r="AD20" s="25" t="str">
        <f t="shared" si="13"/>
        <v xml:space="preserve">Ride 4, </v>
      </c>
      <c r="AE20" s="31"/>
      <c r="AF20" s="27">
        <v>3</v>
      </c>
      <c r="AG20" s="30"/>
      <c r="AI20" s="20"/>
      <c r="AJ20" s="20"/>
      <c r="AK20" s="34" t="s">
        <v>38</v>
      </c>
      <c r="AL20" s="4">
        <v>14</v>
      </c>
      <c r="AM20" s="28">
        <f>INT((INT-10)/2)</f>
        <v>2</v>
      </c>
      <c r="AN20" s="38">
        <v>4</v>
      </c>
      <c r="AO20" s="39">
        <v>-4</v>
      </c>
      <c r="AP20" s="37">
        <f t="shared" si="25"/>
        <v>6</v>
      </c>
      <c r="AQ20" s="109" t="s">
        <v>213</v>
      </c>
      <c r="AR20" s="109" t="s">
        <v>221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2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2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2</v>
      </c>
      <c r="V21" s="26" t="str">
        <f t="shared" si="10"/>
        <v>INT</v>
      </c>
      <c r="W21" s="25">
        <f t="shared" si="11"/>
        <v>2</v>
      </c>
      <c r="X21" s="26">
        <f t="shared" si="12"/>
        <v>0</v>
      </c>
      <c r="Y21" s="26" t="str">
        <f t="shared" si="17"/>
        <v>Search</v>
      </c>
      <c r="Z21" s="25">
        <f t="shared" si="18"/>
        <v>2</v>
      </c>
      <c r="AA21" s="26" t="str">
        <f t="shared" si="19"/>
        <v>INT</v>
      </c>
      <c r="AB21" s="25">
        <f t="shared" si="20"/>
        <v>2</v>
      </c>
      <c r="AC21" s="26">
        <f t="shared" si="21"/>
        <v>0</v>
      </c>
      <c r="AD21" s="25" t="str">
        <f t="shared" si="13"/>
        <v xml:space="preserve">Search 2, </v>
      </c>
      <c r="AE21" s="31"/>
      <c r="AF21" s="27">
        <v>4</v>
      </c>
      <c r="AG21" s="30"/>
      <c r="AI21" s="20"/>
      <c r="AJ21" s="20"/>
      <c r="AK21" s="34" t="s">
        <v>63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212</v>
      </c>
      <c r="AR21" s="109" t="s">
        <v>222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2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2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5</v>
      </c>
      <c r="V22" s="26" t="str">
        <f t="shared" si="10"/>
        <v>WIS</v>
      </c>
      <c r="W22" s="25">
        <f t="shared" si="11"/>
        <v>1</v>
      </c>
      <c r="X22" s="26">
        <f t="shared" si="12"/>
        <v>4</v>
      </c>
      <c r="Y22" s="26" t="str">
        <f t="shared" si="17"/>
        <v>Sense Motive</v>
      </c>
      <c r="Z22" s="25">
        <f t="shared" si="18"/>
        <v>5</v>
      </c>
      <c r="AA22" s="26" t="str">
        <f t="shared" si="19"/>
        <v>WIS</v>
      </c>
      <c r="AB22" s="25">
        <f t="shared" si="20"/>
        <v>1</v>
      </c>
      <c r="AC22" s="26">
        <f t="shared" si="21"/>
        <v>4</v>
      </c>
      <c r="AD22" s="25" t="str">
        <f t="shared" si="13"/>
        <v xml:space="preserve">Sense Motive 5, </v>
      </c>
      <c r="AE22" s="31"/>
      <c r="AF22" s="27">
        <v>5</v>
      </c>
      <c r="AG22" s="30"/>
      <c r="AI22" s="20"/>
      <c r="AJ22" s="20"/>
      <c r="AK22" s="34" t="s">
        <v>46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62</v>
      </c>
      <c r="AR22" t="s">
        <v>223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1</v>
      </c>
      <c r="K23" s="25">
        <f t="shared" si="1"/>
        <v>1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1</v>
      </c>
      <c r="P23" s="26" t="str">
        <f t="shared" si="5"/>
        <v>WIS</v>
      </c>
      <c r="Q23" s="25">
        <f t="shared" si="6"/>
        <v>1</v>
      </c>
      <c r="R23" s="26">
        <f t="shared" si="7"/>
        <v>0</v>
      </c>
      <c r="S23" s="26">
        <v>21</v>
      </c>
      <c r="T23" s="26" t="str">
        <f t="shared" si="8"/>
        <v>Stealth*</v>
      </c>
      <c r="U23" s="25">
        <f t="shared" si="9"/>
        <v>6</v>
      </c>
      <c r="V23" s="26" t="str">
        <f t="shared" si="10"/>
        <v>DEX</v>
      </c>
      <c r="W23" s="25">
        <f t="shared" si="11"/>
        <v>2</v>
      </c>
      <c r="X23" s="26">
        <f t="shared" si="12"/>
        <v>4</v>
      </c>
      <c r="Y23" s="26" t="str">
        <f t="shared" si="17"/>
        <v>Stealth*</v>
      </c>
      <c r="Z23" s="25">
        <f t="shared" si="18"/>
        <v>6</v>
      </c>
      <c r="AA23" s="26" t="str">
        <f t="shared" si="19"/>
        <v>DEX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Stealth* 6,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71</v>
      </c>
      <c r="AR23" t="s">
        <v>319</v>
      </c>
    </row>
    <row r="24" spans="2:44" ht="12.75" customHeight="1" x14ac:dyDescent="0.2">
      <c r="B24" s="20">
        <f t="shared" si="0"/>
        <v>0</v>
      </c>
      <c r="C24" s="110" t="s">
        <v>215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3</v>
      </c>
      <c r="K24" s="25">
        <f t="shared" si="1"/>
        <v>3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3</v>
      </c>
      <c r="P24" s="26" t="str">
        <f t="shared" si="5"/>
        <v>CHA</v>
      </c>
      <c r="Q24" s="25">
        <f t="shared" si="6"/>
        <v>3</v>
      </c>
      <c r="R24" s="26">
        <f t="shared" si="7"/>
        <v>0</v>
      </c>
      <c r="S24" s="26">
        <v>22</v>
      </c>
      <c r="T24" s="26" t="str">
        <f t="shared" si="8"/>
        <v>Swim</v>
      </c>
      <c r="U24" s="25">
        <f t="shared" si="9"/>
        <v>0</v>
      </c>
      <c r="V24" s="26" t="str">
        <f t="shared" si="10"/>
        <v>STR</v>
      </c>
      <c r="W24" s="25">
        <f t="shared" si="11"/>
        <v>0</v>
      </c>
      <c r="X24" s="26">
        <f t="shared" si="12"/>
        <v>0</v>
      </c>
      <c r="Y24" s="26" t="str">
        <f t="shared" si="17"/>
        <v>Swim</v>
      </c>
      <c r="Z24" s="25">
        <f t="shared" si="18"/>
        <v>0</v>
      </c>
      <c r="AA24" s="26" t="str">
        <f t="shared" si="19"/>
        <v>STR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Swim 0, </v>
      </c>
      <c r="AE24" s="31"/>
      <c r="AF24" s="27">
        <v>7</v>
      </c>
      <c r="AG24" s="30"/>
      <c r="AI24" s="20"/>
      <c r="AJ24" s="20"/>
      <c r="AK24" s="32" t="s">
        <v>65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73</v>
      </c>
      <c r="AR24" t="s">
        <v>224</v>
      </c>
    </row>
    <row r="25" spans="2:44" ht="12.75" customHeight="1" x14ac:dyDescent="0.2">
      <c r="B25" s="20">
        <f t="shared" si="0"/>
        <v>0</v>
      </c>
      <c r="C25" s="3" t="s">
        <v>324</v>
      </c>
      <c r="D25" s="4">
        <v>4</v>
      </c>
      <c r="E25" s="20">
        <f t="shared" si="23"/>
        <v>9</v>
      </c>
      <c r="F25" s="23">
        <f t="shared" si="24"/>
        <v>4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1</v>
      </c>
      <c r="K25" s="25">
        <f t="shared" si="1"/>
        <v>5</v>
      </c>
      <c r="L25" s="26">
        <f t="shared" si="16"/>
        <v>16</v>
      </c>
      <c r="M25" s="26">
        <f t="shared" si="2"/>
        <v>16</v>
      </c>
      <c r="N25" s="26" t="str">
        <f t="shared" si="3"/>
        <v>Profession ( Farmer )</v>
      </c>
      <c r="O25" s="25">
        <f t="shared" si="4"/>
        <v>5</v>
      </c>
      <c r="P25" s="26" t="str">
        <f t="shared" si="5"/>
        <v>WIS</v>
      </c>
      <c r="Q25" s="25">
        <f t="shared" si="6"/>
        <v>1</v>
      </c>
      <c r="R25" s="26">
        <f t="shared" si="7"/>
        <v>4</v>
      </c>
      <c r="S25" s="26">
        <v>23</v>
      </c>
      <c r="T25" s="26" t="str">
        <f t="shared" si="8"/>
        <v>Urban Lore</v>
      </c>
      <c r="U25" s="25">
        <f t="shared" si="9"/>
        <v>4</v>
      </c>
      <c r="V25" s="26" t="str">
        <f t="shared" si="10"/>
        <v>INT</v>
      </c>
      <c r="W25" s="25">
        <f t="shared" si="11"/>
        <v>2</v>
      </c>
      <c r="X25" s="26">
        <f t="shared" si="12"/>
        <v>2</v>
      </c>
      <c r="Y25" s="26" t="str">
        <f t="shared" si="17"/>
        <v>Urban Lore</v>
      </c>
      <c r="Z25" s="25">
        <f t="shared" si="18"/>
        <v>4</v>
      </c>
      <c r="AA25" s="26" t="str">
        <f t="shared" si="19"/>
        <v>INT</v>
      </c>
      <c r="AB25" s="25">
        <f t="shared" si="20"/>
        <v>2</v>
      </c>
      <c r="AC25" s="26">
        <f t="shared" si="21"/>
        <v>2</v>
      </c>
      <c r="AD25" s="25" t="str">
        <f t="shared" si="13"/>
        <v xml:space="preserve">Urban Lore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75</v>
      </c>
      <c r="AR25" s="109" t="s">
        <v>225</v>
      </c>
    </row>
    <row r="26" spans="2:44" ht="12.75" customHeight="1" x14ac:dyDescent="0.2">
      <c r="B26" s="20">
        <f t="shared" si="0"/>
        <v>0</v>
      </c>
      <c r="C26" s="1" t="s">
        <v>325</v>
      </c>
      <c r="D26" s="4">
        <v>4</v>
      </c>
      <c r="E26" s="20">
        <f t="shared" si="23"/>
        <v>9</v>
      </c>
      <c r="F26" s="23">
        <f t="shared" si="24"/>
        <v>4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1</v>
      </c>
      <c r="K26" s="25">
        <f t="shared" si="1"/>
        <v>5</v>
      </c>
      <c r="L26" s="26">
        <f t="shared" si="16"/>
        <v>17</v>
      </c>
      <c r="M26" s="26">
        <f t="shared" si="2"/>
        <v>17</v>
      </c>
      <c r="N26" s="26" t="str">
        <f t="shared" si="3"/>
        <v>Profession ( Border Guard )</v>
      </c>
      <c r="O26" s="25">
        <f t="shared" si="4"/>
        <v>5</v>
      </c>
      <c r="P26" s="26" t="str">
        <f t="shared" si="5"/>
        <v>WIS</v>
      </c>
      <c r="Q26" s="25">
        <f t="shared" si="6"/>
        <v>1</v>
      </c>
      <c r="R26" s="26">
        <f t="shared" si="7"/>
        <v>4</v>
      </c>
      <c r="S26" s="26">
        <v>24</v>
      </c>
      <c r="T26" s="26" t="str">
        <f t="shared" si="8"/>
        <v>Use Rope</v>
      </c>
      <c r="U26" s="25">
        <f t="shared" si="9"/>
        <v>3</v>
      </c>
      <c r="V26" s="26" t="str">
        <f t="shared" si="10"/>
        <v>DEX</v>
      </c>
      <c r="W26" s="25">
        <f t="shared" si="11"/>
        <v>2</v>
      </c>
      <c r="X26" s="26">
        <f t="shared" si="12"/>
        <v>1</v>
      </c>
      <c r="Y26" s="26" t="str">
        <f t="shared" si="17"/>
        <v>Use Rope</v>
      </c>
      <c r="Z26" s="25">
        <f t="shared" si="18"/>
        <v>3</v>
      </c>
      <c r="AA26" s="26" t="str">
        <f t="shared" si="19"/>
        <v>DEX</v>
      </c>
      <c r="AB26" s="25">
        <f t="shared" si="20"/>
        <v>2</v>
      </c>
      <c r="AC26" s="26">
        <f t="shared" si="21"/>
        <v>1</v>
      </c>
      <c r="AD26" s="25" t="str">
        <f t="shared" si="13"/>
        <v xml:space="preserve">Use Rope 3, </v>
      </c>
      <c r="AE26" s="31"/>
      <c r="AF26" s="27">
        <v>9</v>
      </c>
      <c r="AG26" s="30"/>
      <c r="AI26" s="20"/>
      <c r="AJ26" s="20"/>
      <c r="AK26" s="32" t="s">
        <v>68</v>
      </c>
      <c r="AL26" s="4">
        <v>17</v>
      </c>
      <c r="AM26" s="28">
        <f>(HP-CON)*2</f>
        <v>14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66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3</v>
      </c>
      <c r="V27" s="26" t="str">
        <f t="shared" si="10"/>
        <v>WIS</v>
      </c>
      <c r="W27" s="25">
        <f t="shared" si="11"/>
        <v>1</v>
      </c>
      <c r="X27" s="26">
        <f t="shared" si="12"/>
        <v>2</v>
      </c>
      <c r="Y27" s="26" t="str">
        <f t="shared" si="17"/>
        <v>Wilderness Lore</v>
      </c>
      <c r="Z27" s="25">
        <f t="shared" si="18"/>
        <v>3</v>
      </c>
      <c r="AA27" s="26" t="str">
        <f t="shared" si="19"/>
        <v>WIS</v>
      </c>
      <c r="AB27" s="25">
        <f t="shared" si="20"/>
        <v>1</v>
      </c>
      <c r="AC27" s="26">
        <f t="shared" si="21"/>
        <v>2</v>
      </c>
      <c r="AD27" s="25" t="str">
        <f t="shared" si="13"/>
        <v xml:space="preserve">Wilderness Lore 3,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67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69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2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2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70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4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2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71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2</v>
      </c>
      <c r="K31" s="25">
        <f t="shared" si="1"/>
        <v>2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2</v>
      </c>
      <c r="P31" s="26" t="str">
        <f t="shared" si="5"/>
        <v>INT</v>
      </c>
      <c r="Q31" s="25">
        <f t="shared" si="6"/>
        <v>2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72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63</v>
      </c>
      <c r="J32" s="24">
        <f t="shared" si="26"/>
        <v>1</v>
      </c>
      <c r="K32" s="25">
        <f t="shared" si="1"/>
        <v>5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20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74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2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230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6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6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76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77</v>
      </c>
      <c r="D37" s="22">
        <v>2</v>
      </c>
      <c r="E37" s="20">
        <f t="shared" si="23"/>
        <v>2</v>
      </c>
      <c r="F37" s="23">
        <f t="shared" si="24"/>
        <v>2</v>
      </c>
      <c r="G37" s="23"/>
      <c r="H37" s="23">
        <v>0</v>
      </c>
      <c r="I37" s="23" t="s">
        <v>38</v>
      </c>
      <c r="J37" s="24">
        <f t="shared" si="26"/>
        <v>2</v>
      </c>
      <c r="K37" s="25">
        <f t="shared" si="27"/>
        <v>4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2</v>
      </c>
      <c r="R37" s="26">
        <f t="shared" si="33"/>
        <v>2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3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78</v>
      </c>
      <c r="D39" s="22">
        <v>1</v>
      </c>
      <c r="E39" s="20">
        <f t="shared" si="23"/>
        <v>1</v>
      </c>
      <c r="F39" s="23">
        <f t="shared" si="24"/>
        <v>1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3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3</v>
      </c>
      <c r="P39" s="26" t="str">
        <f t="shared" si="31"/>
        <v>DEX</v>
      </c>
      <c r="Q39" s="25">
        <f t="shared" si="32"/>
        <v>2</v>
      </c>
      <c r="R39" s="26">
        <f t="shared" si="33"/>
        <v>1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79</v>
      </c>
      <c r="D40" s="22">
        <v>2</v>
      </c>
      <c r="E40" s="20">
        <f t="shared" si="23"/>
        <v>2</v>
      </c>
      <c r="F40" s="23">
        <f t="shared" si="24"/>
        <v>2</v>
      </c>
      <c r="G40" s="23"/>
      <c r="H40" s="23">
        <f>'Character Sheet'!CS119</f>
        <v>0</v>
      </c>
      <c r="I40" s="23" t="s">
        <v>63</v>
      </c>
      <c r="J40" s="24">
        <f t="shared" si="26"/>
        <v>1</v>
      </c>
      <c r="K40" s="25">
        <f t="shared" si="27"/>
        <v>3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3</v>
      </c>
      <c r="P40" s="26" t="str">
        <f t="shared" si="31"/>
        <v>WIS</v>
      </c>
      <c r="Q40" s="25">
        <f t="shared" si="32"/>
        <v>1</v>
      </c>
      <c r="R40" s="26">
        <f t="shared" si="33"/>
        <v>2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80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25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82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83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283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25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219</v>
      </c>
      <c r="B46" s="27"/>
      <c r="C46" s="21" t="s">
        <v>282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25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218</v>
      </c>
      <c r="B47" s="27"/>
      <c r="C47" s="21" t="s">
        <v>284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25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/>
      <c r="B48" s="20">
        <v>0</v>
      </c>
      <c r="C48" s="21" t="s">
        <v>285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25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286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25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84</v>
      </c>
      <c r="AH53" s="59">
        <f>SUM(AH18:AH52)</f>
        <v>100</v>
      </c>
      <c r="AI53" s="51" t="s">
        <v>30</v>
      </c>
      <c r="AJ53" s="51" t="s">
        <v>85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15</v>
      </c>
      <c r="C54" s="4"/>
      <c r="E54" s="2">
        <f>SUM(E3:E49)</f>
        <v>49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10</v>
      </c>
      <c r="AM54" s="2">
        <f>AM4+AM7+AM10+AM26</f>
        <v>14</v>
      </c>
    </row>
    <row r="55" spans="1:39" ht="12.75" customHeight="1" x14ac:dyDescent="0.2">
      <c r="A55" s="64" t="s">
        <v>86</v>
      </c>
      <c r="B55" s="2">
        <f>SUM(54:54)</f>
        <v>100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87</v>
      </c>
      <c r="B57" s="65">
        <f>AH53</f>
        <v>100</v>
      </c>
      <c r="C57" s="64"/>
      <c r="AG57" s="64" t="s">
        <v>88</v>
      </c>
      <c r="AH57" s="66">
        <f>TOTAL_SP-USED_SP</f>
        <v>0</v>
      </c>
    </row>
    <row r="58" spans="1:39" ht="12.75" customHeight="1" x14ac:dyDescent="0.2">
      <c r="A58" s="64" t="s">
        <v>89</v>
      </c>
      <c r="B58" s="2">
        <f>ROUNDDOWN(TOTAL_SP/50,0)</f>
        <v>2</v>
      </c>
      <c r="C58" s="64"/>
      <c r="D58" s="64" t="s">
        <v>90</v>
      </c>
      <c r="E58" s="67">
        <v>3</v>
      </c>
    </row>
    <row r="59" spans="1:39" ht="12.75" customHeight="1" x14ac:dyDescent="0.2">
      <c r="A59" s="64" t="s">
        <v>91</v>
      </c>
      <c r="B59" s="2">
        <f>CON+(RL*5)</f>
        <v>20</v>
      </c>
      <c r="C59" s="64"/>
      <c r="D59" s="64" t="s">
        <v>92</v>
      </c>
      <c r="E59" s="67">
        <f>RL+2</f>
        <v>4</v>
      </c>
    </row>
    <row r="60" spans="1:39" ht="12.75" customHeight="1" x14ac:dyDescent="0.2">
      <c r="A60" s="64" t="s">
        <v>93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94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0.15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95</v>
      </c>
      <c r="B64" s="70">
        <f>E54/TOTAL_SP</f>
        <v>0.49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96</v>
      </c>
      <c r="B65" s="70">
        <f>(AI54+AJ54)/TOTAL_SP</f>
        <v>0.22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97</v>
      </c>
      <c r="B66" s="70">
        <f>(AM54)/TOTAL_SP</f>
        <v>0.14000000000000001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40" zoomScaleNormal="40" zoomScaleSheetLayoutView="40" workbookViewId="0"/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3" t="str">
        <f>FeatSheet!B1</f>
        <v>Cardin Oblern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98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99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20">
        <f>RL</f>
        <v>2</v>
      </c>
      <c r="C8" s="220"/>
      <c r="D8" s="220"/>
      <c r="E8" s="220"/>
      <c r="F8" s="220"/>
      <c r="G8" s="220"/>
      <c r="H8" s="220"/>
      <c r="I8" s="78"/>
      <c r="J8" s="221" t="s">
        <v>104</v>
      </c>
      <c r="K8" s="221"/>
      <c r="L8" s="221"/>
      <c r="M8" s="221"/>
      <c r="N8" s="221"/>
      <c r="O8" s="221"/>
      <c r="P8" s="221"/>
      <c r="Q8" s="78"/>
      <c r="R8" s="222"/>
      <c r="S8" s="222"/>
      <c r="T8" s="222"/>
      <c r="U8" s="222"/>
      <c r="V8" s="222"/>
      <c r="W8" s="222"/>
      <c r="X8" s="222"/>
      <c r="Y8" s="78"/>
      <c r="Z8" s="216"/>
      <c r="AA8" s="216"/>
      <c r="AB8" s="216"/>
      <c r="AC8" s="216"/>
      <c r="AD8" s="216"/>
      <c r="AE8" s="216"/>
      <c r="AF8" s="216"/>
      <c r="AG8" s="78"/>
      <c r="AH8" s="217"/>
      <c r="AI8" s="217"/>
      <c r="AJ8" s="217"/>
      <c r="AK8" s="217"/>
      <c r="AL8" s="217"/>
      <c r="AM8" s="217"/>
      <c r="AN8" s="217"/>
      <c r="AO8" s="199"/>
      <c r="AP8" s="218"/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99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9" t="s">
        <v>105</v>
      </c>
      <c r="C10" s="219"/>
      <c r="D10" s="219"/>
      <c r="E10" s="219"/>
      <c r="F10" s="219"/>
      <c r="G10" s="219"/>
      <c r="H10" s="78"/>
      <c r="I10" s="78"/>
      <c r="J10" s="78" t="s">
        <v>106</v>
      </c>
      <c r="K10" s="78"/>
      <c r="L10" s="78"/>
      <c r="M10" s="78"/>
      <c r="N10" s="78"/>
      <c r="O10" s="78"/>
      <c r="P10" s="78"/>
      <c r="Q10" s="78"/>
      <c r="R10" s="78" t="s">
        <v>107</v>
      </c>
      <c r="S10" s="78"/>
      <c r="T10" s="78"/>
      <c r="U10" s="78"/>
      <c r="V10" s="78"/>
      <c r="W10" s="78"/>
      <c r="X10" s="78"/>
      <c r="Y10" s="78"/>
      <c r="Z10" s="78" t="s">
        <v>108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110</v>
      </c>
      <c r="AY10" s="78"/>
      <c r="AZ10" s="78"/>
      <c r="BA10" s="78"/>
      <c r="BB10" s="78"/>
      <c r="BC10" s="78"/>
      <c r="BD10" s="78"/>
      <c r="BE10" s="78"/>
      <c r="BF10" s="78" t="s">
        <v>111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4" t="s">
        <v>112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 x14ac:dyDescent="0.25">
      <c r="A12" s="77"/>
      <c r="B12" s="228" t="s">
        <v>113</v>
      </c>
      <c r="C12" s="228"/>
      <c r="D12" s="228"/>
      <c r="E12" s="228"/>
      <c r="F12" s="228"/>
      <c r="G12" s="228"/>
      <c r="H12" s="78"/>
      <c r="I12" s="211" t="s">
        <v>114</v>
      </c>
      <c r="J12" s="211"/>
      <c r="K12" s="211"/>
      <c r="L12" s="211"/>
      <c r="M12" s="78"/>
      <c r="N12" s="211" t="s">
        <v>115</v>
      </c>
      <c r="O12" s="211"/>
      <c r="P12" s="211"/>
      <c r="Q12" s="211"/>
      <c r="R12" s="78"/>
      <c r="S12" s="229" t="s">
        <v>116</v>
      </c>
      <c r="T12" s="229"/>
      <c r="U12" s="229"/>
      <c r="V12" s="229"/>
      <c r="W12" s="78"/>
      <c r="X12" s="229" t="s">
        <v>117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118</v>
      </c>
      <c r="AL12" s="212"/>
      <c r="AM12" s="212"/>
      <c r="AN12" s="212"/>
      <c r="AO12" s="78"/>
      <c r="AP12" s="205" t="s">
        <v>119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120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2"/>
      <c r="BZ12" s="112"/>
      <c r="CA12" s="112"/>
      <c r="CB12" s="112"/>
      <c r="CC12" s="78"/>
      <c r="CD12" s="211"/>
      <c r="CE12" s="211"/>
      <c r="CF12" s="211"/>
      <c r="CG12" s="211"/>
      <c r="CH12" s="78"/>
      <c r="CI12" s="209" t="s">
        <v>217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1"/>
    </row>
    <row r="13" spans="1:101" s="76" customFormat="1" ht="13.5" customHeight="1" thickBot="1" x14ac:dyDescent="0.25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2"/>
      <c r="BZ13" s="112"/>
      <c r="CA13" s="112"/>
      <c r="CB13" s="112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1"/>
    </row>
    <row r="14" spans="1:101" ht="13.5" customHeight="1" thickBot="1" x14ac:dyDescent="0.25">
      <c r="A14" s="82"/>
      <c r="B14" s="223" t="s">
        <v>39</v>
      </c>
      <c r="C14" s="223"/>
      <c r="D14" s="223"/>
      <c r="E14" s="223"/>
      <c r="F14" s="223"/>
      <c r="G14" s="223"/>
      <c r="H14" s="83"/>
      <c r="I14" s="224">
        <f>STR</f>
        <v>10</v>
      </c>
      <c r="J14" s="224"/>
      <c r="K14" s="224"/>
      <c r="L14" s="224"/>
      <c r="M14" s="78"/>
      <c r="N14" s="225">
        <f>STRMOD</f>
        <v>0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23" t="s">
        <v>68</v>
      </c>
      <c r="AE14" s="223"/>
      <c r="AF14" s="223"/>
      <c r="AG14" s="223"/>
      <c r="AH14" s="223"/>
      <c r="AI14" s="223"/>
      <c r="AJ14" s="83"/>
      <c r="AK14" s="210">
        <f>HP</f>
        <v>17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3"/>
      <c r="BY14" s="113"/>
      <c r="BZ14" s="113"/>
      <c r="CA14" s="113"/>
      <c r="CB14" s="113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4"/>
    </row>
    <row r="15" spans="1:101" ht="13.5" customHeight="1" thickBot="1" x14ac:dyDescent="0.25">
      <c r="A15" s="82"/>
      <c r="B15" s="223"/>
      <c r="C15" s="223"/>
      <c r="D15" s="223"/>
      <c r="E15" s="223"/>
      <c r="F15" s="223"/>
      <c r="G15" s="223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23"/>
      <c r="AE15" s="223"/>
      <c r="AF15" s="223"/>
      <c r="AG15" s="223"/>
      <c r="AH15" s="223"/>
      <c r="AI15" s="223"/>
      <c r="AJ15" s="83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3"/>
      <c r="BY15" s="113"/>
      <c r="BZ15" s="113"/>
      <c r="CA15" s="113"/>
      <c r="CB15" s="113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4"/>
    </row>
    <row r="16" spans="1:101" ht="13.5" customHeight="1" thickBot="1" x14ac:dyDescent="0.25">
      <c r="A16" s="82"/>
      <c r="B16" s="230" t="s">
        <v>122</v>
      </c>
      <c r="C16" s="230"/>
      <c r="D16" s="230"/>
      <c r="E16" s="230"/>
      <c r="F16" s="230"/>
      <c r="G16" s="230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30" t="s">
        <v>123</v>
      </c>
      <c r="AE16" s="230"/>
      <c r="AF16" s="230"/>
      <c r="AG16" s="230"/>
      <c r="AH16" s="230"/>
      <c r="AI16" s="230"/>
      <c r="AJ16" s="83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1"/>
      <c r="BZ16" s="111"/>
      <c r="CA16" s="111"/>
      <c r="CB16" s="111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3" t="s">
        <v>35</v>
      </c>
      <c r="C18" s="223"/>
      <c r="D18" s="223"/>
      <c r="E18" s="223"/>
      <c r="F18" s="223"/>
      <c r="G18" s="223"/>
      <c r="H18" s="83"/>
      <c r="I18" s="224">
        <f>DEX</f>
        <v>14</v>
      </c>
      <c r="J18" s="224"/>
      <c r="K18" s="224"/>
      <c r="L18" s="224"/>
      <c r="M18" s="78"/>
      <c r="N18" s="225">
        <f>DEXMOD</f>
        <v>2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23" t="s">
        <v>124</v>
      </c>
      <c r="AE18" s="223"/>
      <c r="AF18" s="223"/>
      <c r="AG18" s="223"/>
      <c r="AH18" s="223"/>
      <c r="AI18" s="223"/>
      <c r="AJ18" s="83"/>
      <c r="AK18" s="231">
        <f>AP18+AU18+AZ18+BE18</f>
        <v>12</v>
      </c>
      <c r="AL18" s="231"/>
      <c r="AM18" s="231"/>
      <c r="AN18" s="231"/>
      <c r="AO18" s="233" t="s">
        <v>125</v>
      </c>
      <c r="AP18" s="236">
        <v>10</v>
      </c>
      <c r="AQ18" s="236"/>
      <c r="AR18" s="236"/>
      <c r="AS18" s="236"/>
      <c r="AT18" s="234" t="s">
        <v>126</v>
      </c>
      <c r="AU18" s="235">
        <f>IF(MaxDexBonus=0,DEXMOD,IF(MaxDexBonus&gt;DEXMOD,DEXMOD,MaxDexBonus))</f>
        <v>2</v>
      </c>
      <c r="AV18" s="235"/>
      <c r="AW18" s="235"/>
      <c r="AX18" s="235"/>
      <c r="AY18" s="252" t="s">
        <v>126</v>
      </c>
      <c r="AZ18" s="235">
        <f>S129</f>
        <v>0</v>
      </c>
      <c r="BA18" s="235"/>
      <c r="BB18" s="235"/>
      <c r="BC18" s="235"/>
      <c r="BD18" s="252" t="s">
        <v>126</v>
      </c>
      <c r="BE18" s="237"/>
      <c r="BF18" s="237"/>
      <c r="BG18" s="237"/>
      <c r="BH18" s="237"/>
      <c r="BI18" s="233"/>
      <c r="BJ18" s="249" t="s">
        <v>232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125</v>
      </c>
      <c r="BT18" s="235">
        <f>AD119</f>
        <v>0</v>
      </c>
      <c r="BU18" s="235"/>
      <c r="BV18" s="235"/>
      <c r="BW18" s="235"/>
      <c r="BX18" s="252" t="s">
        <v>126</v>
      </c>
      <c r="BY18" s="240"/>
      <c r="BZ18" s="241"/>
      <c r="CA18" s="241"/>
      <c r="CB18" s="242"/>
      <c r="CC18" s="252" t="s">
        <v>126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3"/>
      <c r="C19" s="223"/>
      <c r="D19" s="223"/>
      <c r="E19" s="223"/>
      <c r="F19" s="223"/>
      <c r="G19" s="223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23"/>
      <c r="AE19" s="223"/>
      <c r="AF19" s="223"/>
      <c r="AG19" s="223"/>
      <c r="AH19" s="223"/>
      <c r="AI19" s="223"/>
      <c r="AJ19" s="83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0" t="s">
        <v>127</v>
      </c>
      <c r="C20" s="230"/>
      <c r="D20" s="230"/>
      <c r="E20" s="230"/>
      <c r="F20" s="230"/>
      <c r="G20" s="230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30" t="s">
        <v>128</v>
      </c>
      <c r="AE20" s="230"/>
      <c r="AF20" s="230"/>
      <c r="AG20" s="230"/>
      <c r="AH20" s="230"/>
      <c r="AI20" s="230"/>
      <c r="AJ20" s="83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233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4" t="s">
        <v>118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131</v>
      </c>
      <c r="AV21" s="253"/>
      <c r="AW21" s="253"/>
      <c r="AX21" s="253"/>
      <c r="AY21" s="78"/>
      <c r="AZ21" s="253" t="s">
        <v>130</v>
      </c>
      <c r="BA21" s="253"/>
      <c r="BB21" s="253"/>
      <c r="BC21" s="253"/>
      <c r="BD21" s="78"/>
      <c r="BE21" s="253" t="s">
        <v>134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118</v>
      </c>
      <c r="BP21" s="254"/>
      <c r="BQ21" s="254"/>
      <c r="BR21" s="254"/>
      <c r="BS21" s="78"/>
      <c r="BT21" s="253" t="s">
        <v>129</v>
      </c>
      <c r="BU21" s="253"/>
      <c r="BV21" s="253"/>
      <c r="BW21" s="253"/>
      <c r="BX21" s="78"/>
      <c r="BY21" s="253" t="s">
        <v>133</v>
      </c>
      <c r="BZ21" s="253"/>
      <c r="CA21" s="253"/>
      <c r="CB21" s="253"/>
      <c r="CC21" s="78"/>
      <c r="CD21" s="255" t="s">
        <v>134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135</v>
      </c>
      <c r="CO21" s="255"/>
      <c r="CP21" s="255"/>
      <c r="CQ21" s="255"/>
      <c r="CR21" s="78"/>
      <c r="CS21" s="232" t="s">
        <v>136</v>
      </c>
      <c r="CT21" s="232"/>
      <c r="CU21" s="232"/>
      <c r="CV21" s="232"/>
      <c r="CW21" s="84"/>
    </row>
    <row r="22" spans="1:116" ht="12.75" customHeight="1" thickBot="1" x14ac:dyDescent="0.25">
      <c r="A22" s="82"/>
      <c r="B22" s="223" t="s">
        <v>47</v>
      </c>
      <c r="C22" s="223"/>
      <c r="D22" s="223"/>
      <c r="E22" s="223"/>
      <c r="F22" s="223"/>
      <c r="G22" s="223"/>
      <c r="H22" s="83"/>
      <c r="I22" s="224">
        <f>CON</f>
        <v>10</v>
      </c>
      <c r="J22" s="224"/>
      <c r="K22" s="224"/>
      <c r="L22" s="224"/>
      <c r="M22" s="78"/>
      <c r="N22" s="225">
        <f>CONMOD</f>
        <v>0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4"/>
    </row>
    <row r="23" spans="1:116" ht="13.5" customHeight="1" thickBot="1" x14ac:dyDescent="0.25">
      <c r="A23" s="82"/>
      <c r="B23" s="223"/>
      <c r="C23" s="223"/>
      <c r="D23" s="223"/>
      <c r="E23" s="223"/>
      <c r="F23" s="223"/>
      <c r="G23" s="223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0" t="s">
        <v>137</v>
      </c>
      <c r="C24" s="230"/>
      <c r="D24" s="230"/>
      <c r="E24" s="230"/>
      <c r="F24" s="230"/>
      <c r="G24" s="230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23" t="s">
        <v>138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3"/>
      <c r="AP24" s="264">
        <f>AU24+AZ24</f>
        <v>2</v>
      </c>
      <c r="AQ24" s="264"/>
      <c r="AR24" s="264"/>
      <c r="AS24" s="264"/>
      <c r="AT24" s="252" t="s">
        <v>125</v>
      </c>
      <c r="AU24" s="235">
        <f>DEXMOD</f>
        <v>2</v>
      </c>
      <c r="AV24" s="235"/>
      <c r="AW24" s="235"/>
      <c r="AX24" s="235"/>
      <c r="AY24" s="252" t="s">
        <v>126</v>
      </c>
      <c r="AZ24" s="237"/>
      <c r="BA24" s="237"/>
      <c r="BB24" s="237"/>
      <c r="BC24" s="23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3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3"/>
      <c r="BE25" s="83"/>
      <c r="BF25" s="83"/>
      <c r="BG25" s="263"/>
      <c r="BH25" s="263"/>
      <c r="BI25" s="256" t="s">
        <v>139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140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4</v>
      </c>
      <c r="CS25" s="273"/>
      <c r="CT25" s="273"/>
      <c r="CU25" s="273"/>
      <c r="CV25" s="273"/>
      <c r="CW25" s="84"/>
    </row>
    <row r="26" spans="1:116" ht="13.5" customHeight="1" x14ac:dyDescent="0.2">
      <c r="A26" s="82"/>
      <c r="B26" s="223" t="s">
        <v>38</v>
      </c>
      <c r="C26" s="223"/>
      <c r="D26" s="223"/>
      <c r="E26" s="223"/>
      <c r="F26" s="223"/>
      <c r="G26" s="223"/>
      <c r="H26" s="83"/>
      <c r="I26" s="224">
        <f>INT</f>
        <v>14</v>
      </c>
      <c r="J26" s="224"/>
      <c r="K26" s="224"/>
      <c r="L26" s="224"/>
      <c r="M26" s="78"/>
      <c r="N26" s="225">
        <f>INTMOD</f>
        <v>2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30" t="s">
        <v>141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3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3"/>
      <c r="BE26" s="83"/>
      <c r="BF26" s="83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4"/>
    </row>
    <row r="27" spans="1:116" ht="12.75" customHeight="1" x14ac:dyDescent="0.2">
      <c r="A27" s="82"/>
      <c r="B27" s="223"/>
      <c r="C27" s="223"/>
      <c r="D27" s="223"/>
      <c r="E27" s="223"/>
      <c r="F27" s="223"/>
      <c r="G27" s="223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4" t="s">
        <v>118</v>
      </c>
      <c r="AQ27" s="274"/>
      <c r="AR27" s="274"/>
      <c r="AS27" s="274"/>
      <c r="AT27" s="83"/>
      <c r="AU27" s="262" t="s">
        <v>131</v>
      </c>
      <c r="AV27" s="262"/>
      <c r="AW27" s="262"/>
      <c r="AX27" s="262"/>
      <c r="AY27" s="83"/>
      <c r="AZ27" s="262" t="s">
        <v>134</v>
      </c>
      <c r="BA27" s="262"/>
      <c r="BB27" s="262"/>
      <c r="BC27" s="262"/>
      <c r="BD27" s="83"/>
      <c r="BE27" s="83"/>
      <c r="BF27" s="83"/>
      <c r="BG27" s="263"/>
      <c r="BH27" s="263"/>
      <c r="BI27" s="258" t="s">
        <v>142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143</v>
      </c>
      <c r="BZ27" s="259"/>
      <c r="CA27" s="259"/>
      <c r="CB27" s="259"/>
      <c r="CC27" s="83"/>
      <c r="CD27" s="260" t="s">
        <v>144</v>
      </c>
      <c r="CE27" s="260"/>
      <c r="CF27" s="260"/>
      <c r="CG27" s="260"/>
      <c r="CH27" s="83"/>
      <c r="CI27" s="259" t="s">
        <v>115</v>
      </c>
      <c r="CJ27" s="259"/>
      <c r="CK27" s="259"/>
      <c r="CL27" s="259"/>
      <c r="CM27" s="83"/>
      <c r="CN27" s="261" t="s">
        <v>145</v>
      </c>
      <c r="CO27" s="261"/>
      <c r="CP27" s="261"/>
      <c r="CQ27" s="261"/>
      <c r="CR27" s="83"/>
      <c r="CS27" s="259" t="s">
        <v>134</v>
      </c>
      <c r="CT27" s="259"/>
      <c r="CU27" s="259"/>
      <c r="CV27" s="259"/>
      <c r="CW27" s="84"/>
    </row>
    <row r="28" spans="1:116" ht="13.5" customHeight="1" x14ac:dyDescent="0.2">
      <c r="A28" s="82"/>
      <c r="B28" s="230" t="s">
        <v>146</v>
      </c>
      <c r="C28" s="230"/>
      <c r="D28" s="230"/>
      <c r="E28" s="230"/>
      <c r="F28" s="230"/>
      <c r="G28" s="230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4"/>
      <c r="AQ28" s="274"/>
      <c r="AR28" s="274"/>
      <c r="AS28" s="274"/>
      <c r="AT28" s="83"/>
      <c r="AU28" s="262"/>
      <c r="AV28" s="262"/>
      <c r="AW28" s="262"/>
      <c r="AX28" s="262"/>
      <c r="AY28" s="83"/>
      <c r="AZ28" s="262"/>
      <c r="BA28" s="262"/>
      <c r="BB28" s="262"/>
      <c r="BC28" s="262"/>
      <c r="BD28" s="83"/>
      <c r="BE28" s="83"/>
      <c r="BF28" s="83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3"/>
      <c r="CD28" s="260"/>
      <c r="CE28" s="260"/>
      <c r="CF28" s="260"/>
      <c r="CG28" s="260"/>
      <c r="CH28" s="83"/>
      <c r="CI28" s="259"/>
      <c r="CJ28" s="259"/>
      <c r="CK28" s="259"/>
      <c r="CL28" s="259"/>
      <c r="CM28" s="83"/>
      <c r="CN28" s="261"/>
      <c r="CO28" s="261"/>
      <c r="CP28" s="261"/>
      <c r="CQ28" s="261"/>
      <c r="CR28" s="83"/>
      <c r="CS28" s="259"/>
      <c r="CT28" s="259"/>
      <c r="CU28" s="259"/>
      <c r="CV28" s="259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3" t="s">
        <v>147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7"/>
      <c r="AU29" s="272">
        <f>FeatSheet!E59</f>
        <v>4</v>
      </c>
      <c r="AV29" s="272"/>
      <c r="AW29" s="272"/>
      <c r="AX29" s="272"/>
      <c r="AY29" s="272"/>
      <c r="AZ29" s="272"/>
      <c r="BA29" s="272"/>
      <c r="BB29" s="272"/>
      <c r="BC29" s="27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3" t="s">
        <v>63</v>
      </c>
      <c r="C30" s="223"/>
      <c r="D30" s="223"/>
      <c r="E30" s="223"/>
      <c r="F30" s="223"/>
      <c r="G30" s="223"/>
      <c r="H30" s="83"/>
      <c r="I30" s="224">
        <f>WIS</f>
        <v>12</v>
      </c>
      <c r="J30" s="224"/>
      <c r="K30" s="224"/>
      <c r="L30" s="224"/>
      <c r="M30" s="78"/>
      <c r="N30" s="225">
        <f>WISMOD</f>
        <v>1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7"/>
      <c r="AU30" s="272"/>
      <c r="AV30" s="272"/>
      <c r="AW30" s="272"/>
      <c r="AX30" s="272"/>
      <c r="AY30" s="272"/>
      <c r="AZ30" s="272"/>
      <c r="BA30" s="272"/>
      <c r="BB30" s="272"/>
      <c r="BC30" s="272"/>
      <c r="BD30" s="83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125</v>
      </c>
      <c r="CI30" s="266">
        <f>FeatSheet!J3-ArCkPen</f>
        <v>2</v>
      </c>
      <c r="CJ30" s="266"/>
      <c r="CK30" s="266"/>
      <c r="CL30" s="266"/>
      <c r="CM30" s="265" t="s">
        <v>126</v>
      </c>
      <c r="CN30" s="266">
        <f>ROUNDDOWN(FeatSheet!F3,0)</f>
        <v>0</v>
      </c>
      <c r="CO30" s="266"/>
      <c r="CP30" s="266"/>
      <c r="CQ30" s="266"/>
      <c r="CR30" s="265" t="s">
        <v>126</v>
      </c>
      <c r="CS30" s="266"/>
      <c r="CT30" s="266"/>
      <c r="CU30" s="266"/>
      <c r="CV30" s="266"/>
      <c r="CW30" s="84"/>
    </row>
    <row r="31" spans="1:116" ht="13.5" customHeight="1" x14ac:dyDescent="0.2">
      <c r="A31" s="82"/>
      <c r="B31" s="223"/>
      <c r="C31" s="223"/>
      <c r="D31" s="223"/>
      <c r="E31" s="223"/>
      <c r="F31" s="223"/>
      <c r="G31" s="223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7"/>
      <c r="AU31" s="272"/>
      <c r="AV31" s="272"/>
      <c r="AW31" s="272"/>
      <c r="AX31" s="272"/>
      <c r="AY31" s="272"/>
      <c r="AZ31" s="272"/>
      <c r="BA31" s="272"/>
      <c r="BB31" s="272"/>
      <c r="BC31" s="272"/>
      <c r="BD31" s="83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4"/>
      <c r="CZ31" s="71">
        <v>1</v>
      </c>
    </row>
    <row r="32" spans="1:116" ht="13.5" customHeight="1" x14ac:dyDescent="0.2">
      <c r="A32" s="82"/>
      <c r="B32" s="230" t="s">
        <v>148</v>
      </c>
      <c r="C32" s="230"/>
      <c r="D32" s="230"/>
      <c r="E32" s="230"/>
      <c r="F32" s="230"/>
      <c r="G32" s="230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125</v>
      </c>
      <c r="CI32" s="266">
        <f>FeatSheet!J4</f>
        <v>2</v>
      </c>
      <c r="CJ32" s="266"/>
      <c r="CK32" s="266"/>
      <c r="CL32" s="266"/>
      <c r="CM32" s="265" t="s">
        <v>126</v>
      </c>
      <c r="CN32" s="266">
        <f>ROUNDDOWN(FeatSheet!F4,0)</f>
        <v>0</v>
      </c>
      <c r="CO32" s="266"/>
      <c r="CP32" s="266"/>
      <c r="CQ32" s="266"/>
      <c r="CR32" s="265" t="s">
        <v>126</v>
      </c>
      <c r="CS32" s="266"/>
      <c r="CT32" s="266"/>
      <c r="CU32" s="266"/>
      <c r="CV32" s="26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3" t="s">
        <v>149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7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3"/>
      <c r="BE33" s="83"/>
      <c r="BF33" s="83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4"/>
      <c r="CZ33" s="71">
        <v>2</v>
      </c>
    </row>
    <row r="34" spans="1:104" ht="13.5" customHeight="1" x14ac:dyDescent="0.2">
      <c r="A34" s="82"/>
      <c r="B34" s="223" t="s">
        <v>46</v>
      </c>
      <c r="C34" s="223"/>
      <c r="D34" s="223"/>
      <c r="E34" s="223"/>
      <c r="F34" s="223"/>
      <c r="G34" s="223"/>
      <c r="H34" s="83"/>
      <c r="I34" s="224">
        <f>CHA</f>
        <v>16</v>
      </c>
      <c r="J34" s="224"/>
      <c r="K34" s="224"/>
      <c r="L34" s="224"/>
      <c r="M34" s="78"/>
      <c r="N34" s="225">
        <f>CHAMOD</f>
        <v>3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7"/>
      <c r="AU34" s="272"/>
      <c r="AV34" s="272"/>
      <c r="AW34" s="272"/>
      <c r="AX34" s="272"/>
      <c r="AY34" s="272"/>
      <c r="AZ34" s="272"/>
      <c r="BA34" s="272"/>
      <c r="BB34" s="272"/>
      <c r="BC34" s="272"/>
      <c r="BD34" s="83"/>
      <c r="BE34" s="83"/>
      <c r="BF34" s="83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2</v>
      </c>
      <c r="CE34" s="271"/>
      <c r="CF34" s="271"/>
      <c r="CG34" s="271"/>
      <c r="CH34" s="265" t="s">
        <v>125</v>
      </c>
      <c r="CI34" s="266">
        <f>FeatSheet!J5</f>
        <v>2</v>
      </c>
      <c r="CJ34" s="266"/>
      <c r="CK34" s="266"/>
      <c r="CL34" s="266"/>
      <c r="CM34" s="265" t="s">
        <v>126</v>
      </c>
      <c r="CN34" s="266">
        <f>ROUNDDOWN(FeatSheet!F5,0)</f>
        <v>0</v>
      </c>
      <c r="CO34" s="266"/>
      <c r="CP34" s="266"/>
      <c r="CQ34" s="266"/>
      <c r="CR34" s="265" t="s">
        <v>126</v>
      </c>
      <c r="CS34" s="266"/>
      <c r="CT34" s="266"/>
      <c r="CU34" s="266"/>
      <c r="CV34" s="266"/>
      <c r="CW34" s="84"/>
    </row>
    <row r="35" spans="1:104" ht="12.75" customHeight="1" x14ac:dyDescent="0.2">
      <c r="A35" s="82"/>
      <c r="B35" s="223"/>
      <c r="C35" s="223"/>
      <c r="D35" s="223"/>
      <c r="E35" s="223"/>
      <c r="F35" s="223"/>
      <c r="G35" s="223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7"/>
      <c r="AU35" s="272"/>
      <c r="AV35" s="272"/>
      <c r="AW35" s="272"/>
      <c r="AX35" s="272"/>
      <c r="AY35" s="272"/>
      <c r="AZ35" s="272"/>
      <c r="BA35" s="272"/>
      <c r="BB35" s="272"/>
      <c r="BC35" s="272"/>
      <c r="BD35" s="83"/>
      <c r="BE35" s="83"/>
      <c r="BF35" s="83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4"/>
      <c r="CZ35" s="71">
        <v>3</v>
      </c>
    </row>
    <row r="36" spans="1:104" ht="13.5" customHeight="1" x14ac:dyDescent="0.2">
      <c r="A36" s="82"/>
      <c r="B36" s="230" t="s">
        <v>150</v>
      </c>
      <c r="C36" s="230"/>
      <c r="D36" s="230"/>
      <c r="E36" s="230"/>
      <c r="F36" s="230"/>
      <c r="G36" s="230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0</v>
      </c>
      <c r="CE36" s="271"/>
      <c r="CF36" s="271"/>
      <c r="CG36" s="271"/>
      <c r="CH36" s="265" t="s">
        <v>125</v>
      </c>
      <c r="CI36" s="266">
        <f>FeatSheet!J6-ArCkPen</f>
        <v>0</v>
      </c>
      <c r="CJ36" s="266"/>
      <c r="CK36" s="266"/>
      <c r="CL36" s="266"/>
      <c r="CM36" s="265" t="s">
        <v>126</v>
      </c>
      <c r="CN36" s="266">
        <f>ROUNDDOWN(FeatSheet!F6,0)</f>
        <v>0</v>
      </c>
      <c r="CO36" s="266"/>
      <c r="CP36" s="266"/>
      <c r="CQ36" s="266"/>
      <c r="CR36" s="265" t="s">
        <v>126</v>
      </c>
      <c r="CS36" s="266"/>
      <c r="CT36" s="266"/>
      <c r="CU36" s="266"/>
      <c r="CV36" s="26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4"/>
      <c r="CZ37" s="71">
        <v>4</v>
      </c>
    </row>
    <row r="38" spans="1:104" ht="12.75" customHeight="1" x14ac:dyDescent="0.2">
      <c r="A38" s="82"/>
      <c r="B38" s="275" t="s">
        <v>151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3"/>
      <c r="N38" s="212" t="s">
        <v>118</v>
      </c>
      <c r="O38" s="212"/>
      <c r="P38" s="212"/>
      <c r="Q38" s="212"/>
      <c r="R38" s="78"/>
      <c r="S38" s="211" t="s">
        <v>152</v>
      </c>
      <c r="T38" s="211"/>
      <c r="U38" s="211"/>
      <c r="V38" s="211"/>
      <c r="W38" s="78"/>
      <c r="X38" s="211" t="s">
        <v>115</v>
      </c>
      <c r="Y38" s="211"/>
      <c r="Z38" s="211"/>
      <c r="AA38" s="211"/>
      <c r="AB38" s="78"/>
      <c r="AC38" s="211" t="s">
        <v>153</v>
      </c>
      <c r="AD38" s="211"/>
      <c r="AE38" s="211"/>
      <c r="AF38" s="211"/>
      <c r="AG38" s="78"/>
      <c r="AH38" s="211" t="s">
        <v>134</v>
      </c>
      <c r="AI38" s="211"/>
      <c r="AJ38" s="211"/>
      <c r="AK38" s="211"/>
      <c r="AL38" s="78"/>
      <c r="AM38" s="229" t="s">
        <v>117</v>
      </c>
      <c r="AN38" s="229"/>
      <c r="AO38" s="229"/>
      <c r="AP38" s="22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2</v>
      </c>
      <c r="CE38" s="271"/>
      <c r="CF38" s="271"/>
      <c r="CG38" s="271"/>
      <c r="CH38" s="265" t="s">
        <v>125</v>
      </c>
      <c r="CI38" s="266">
        <f>FeatSheet!J7</f>
        <v>2</v>
      </c>
      <c r="CJ38" s="266"/>
      <c r="CK38" s="266"/>
      <c r="CL38" s="266"/>
      <c r="CM38" s="265" t="s">
        <v>126</v>
      </c>
      <c r="CN38" s="266">
        <f>ROUNDDOWN(FeatSheet!F7,0)</f>
        <v>0</v>
      </c>
      <c r="CO38" s="266"/>
      <c r="CP38" s="266"/>
      <c r="CQ38" s="266"/>
      <c r="CR38" s="265" t="s">
        <v>126</v>
      </c>
      <c r="CS38" s="266"/>
      <c r="CT38" s="266"/>
      <c r="CU38" s="266"/>
      <c r="CV38" s="266"/>
      <c r="CW38" s="84"/>
    </row>
    <row r="39" spans="1:104" ht="13.5" customHeight="1" thickBot="1" x14ac:dyDescent="0.25">
      <c r="A39" s="82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3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4"/>
      <c r="CZ39" s="71">
        <v>5</v>
      </c>
    </row>
    <row r="40" spans="1:104" ht="12.75" customHeight="1" thickBot="1" x14ac:dyDescent="0.25">
      <c r="A40" s="82"/>
      <c r="B40" s="223" t="s">
        <v>154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3"/>
      <c r="N40" s="264">
        <f>S40+X40+AC40+AH40</f>
        <v>0</v>
      </c>
      <c r="O40" s="264"/>
      <c r="P40" s="264"/>
      <c r="Q40" s="264"/>
      <c r="R40" s="252" t="s">
        <v>125</v>
      </c>
      <c r="S40" s="235">
        <f>FeatSheet!AK4</f>
        <v>0</v>
      </c>
      <c r="T40" s="235"/>
      <c r="U40" s="235"/>
      <c r="V40" s="235"/>
      <c r="W40" s="252" t="s">
        <v>126</v>
      </c>
      <c r="X40" s="276">
        <f>CONMOD</f>
        <v>0</v>
      </c>
      <c r="Y40" s="276"/>
      <c r="Z40" s="276"/>
      <c r="AA40" s="276"/>
      <c r="AB40" s="252" t="s">
        <v>126</v>
      </c>
      <c r="AC40" s="237">
        <v>0</v>
      </c>
      <c r="AD40" s="237"/>
      <c r="AE40" s="237"/>
      <c r="AF40" s="237"/>
      <c r="AG40" s="252" t="s">
        <v>126</v>
      </c>
      <c r="AH40" s="237"/>
      <c r="AI40" s="237"/>
      <c r="AJ40" s="237"/>
      <c r="AK40" s="237"/>
      <c r="AL40" s="233" t="s">
        <v>126</v>
      </c>
      <c r="AM40" s="277"/>
      <c r="AN40" s="277"/>
      <c r="AO40" s="277"/>
      <c r="AP40" s="27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2</v>
      </c>
      <c r="CE40" s="271"/>
      <c r="CF40" s="271"/>
      <c r="CG40" s="271"/>
      <c r="CH40" s="265" t="s">
        <v>125</v>
      </c>
      <c r="CI40" s="266">
        <f>FeatSheet!J8</f>
        <v>2</v>
      </c>
      <c r="CJ40" s="266"/>
      <c r="CK40" s="266"/>
      <c r="CL40" s="266"/>
      <c r="CM40" s="265" t="s">
        <v>126</v>
      </c>
      <c r="CN40" s="266">
        <f>ROUNDDOWN(FeatSheet!F8,0)</f>
        <v>0</v>
      </c>
      <c r="CO40" s="266"/>
      <c r="CP40" s="266"/>
      <c r="CQ40" s="266"/>
      <c r="CR40" s="265" t="s">
        <v>126</v>
      </c>
      <c r="CS40" s="266"/>
      <c r="CT40" s="266"/>
      <c r="CU40" s="266"/>
      <c r="CV40" s="266"/>
      <c r="CW40" s="84"/>
    </row>
    <row r="41" spans="1:104" ht="12.75" customHeight="1" thickBot="1" x14ac:dyDescent="0.25">
      <c r="A41" s="8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3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4"/>
      <c r="CZ41" s="71">
        <v>6</v>
      </c>
    </row>
    <row r="42" spans="1:104" ht="13.5" customHeight="1" thickBot="1" x14ac:dyDescent="0.25">
      <c r="A42" s="82"/>
      <c r="B42" s="230" t="s">
        <v>155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3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2</v>
      </c>
      <c r="CE42" s="271"/>
      <c r="CF42" s="271"/>
      <c r="CG42" s="271"/>
      <c r="CH42" s="265" t="s">
        <v>125</v>
      </c>
      <c r="CI42" s="266">
        <f>FeatSheet!J9</f>
        <v>2</v>
      </c>
      <c r="CJ42" s="266"/>
      <c r="CK42" s="266"/>
      <c r="CL42" s="266"/>
      <c r="CM42" s="265" t="s">
        <v>126</v>
      </c>
      <c r="CN42" s="266">
        <f>ROUNDDOWN(FeatSheet!F9,0)</f>
        <v>0</v>
      </c>
      <c r="CO42" s="266"/>
      <c r="CP42" s="266"/>
      <c r="CQ42" s="266"/>
      <c r="CR42" s="265" t="s">
        <v>126</v>
      </c>
      <c r="CS42" s="266"/>
      <c r="CT42" s="266"/>
      <c r="CU42" s="266"/>
      <c r="CV42" s="26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4"/>
      <c r="CZ43" s="71">
        <v>7</v>
      </c>
    </row>
    <row r="44" spans="1:104" ht="12.75" customHeight="1" x14ac:dyDescent="0.2">
      <c r="A44" s="82"/>
      <c r="B44" s="223" t="s">
        <v>156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3"/>
      <c r="N44" s="264">
        <f>S44+X44+AC44+AH44</f>
        <v>2</v>
      </c>
      <c r="O44" s="264"/>
      <c r="P44" s="264"/>
      <c r="Q44" s="264"/>
      <c r="R44" s="252" t="s">
        <v>125</v>
      </c>
      <c r="S44" s="235">
        <f>FeatSheet!AK7</f>
        <v>0</v>
      </c>
      <c r="T44" s="235"/>
      <c r="U44" s="235"/>
      <c r="V44" s="235"/>
      <c r="W44" s="252" t="s">
        <v>126</v>
      </c>
      <c r="X44" s="276">
        <f>DEXMOD</f>
        <v>2</v>
      </c>
      <c r="Y44" s="276"/>
      <c r="Z44" s="276"/>
      <c r="AA44" s="276"/>
      <c r="AB44" s="252" t="s">
        <v>126</v>
      </c>
      <c r="AC44" s="237">
        <v>0</v>
      </c>
      <c r="AD44" s="237"/>
      <c r="AE44" s="237"/>
      <c r="AF44" s="237"/>
      <c r="AG44" s="252" t="s">
        <v>126</v>
      </c>
      <c r="AH44" s="237">
        <f>RefMOD</f>
        <v>0</v>
      </c>
      <c r="AI44" s="237"/>
      <c r="AJ44" s="237"/>
      <c r="AK44" s="237"/>
      <c r="AL44" s="233" t="s">
        <v>126</v>
      </c>
      <c r="AM44" s="277"/>
      <c r="AN44" s="277"/>
      <c r="AO44" s="277"/>
      <c r="AP44" s="27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2</v>
      </c>
      <c r="CE44" s="271"/>
      <c r="CF44" s="271"/>
      <c r="CG44" s="271"/>
      <c r="CH44" s="265" t="s">
        <v>125</v>
      </c>
      <c r="CI44" s="266">
        <f>FeatSheet!J10</f>
        <v>2</v>
      </c>
      <c r="CJ44" s="266"/>
      <c r="CK44" s="266"/>
      <c r="CL44" s="266"/>
      <c r="CM44" s="265" t="s">
        <v>126</v>
      </c>
      <c r="CN44" s="266">
        <f>ROUNDDOWN(FeatSheet!F10,0)</f>
        <v>0</v>
      </c>
      <c r="CO44" s="266"/>
      <c r="CP44" s="266"/>
      <c r="CQ44" s="266"/>
      <c r="CR44" s="265" t="s">
        <v>126</v>
      </c>
      <c r="CS44" s="266"/>
      <c r="CT44" s="266"/>
      <c r="CU44" s="266"/>
      <c r="CV44" s="266"/>
      <c r="CW44" s="84"/>
    </row>
    <row r="45" spans="1:104" ht="12.75" customHeight="1" x14ac:dyDescent="0.2">
      <c r="A45" s="8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3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4"/>
      <c r="CZ45" s="71">
        <v>8</v>
      </c>
    </row>
    <row r="46" spans="1:104" ht="13.5" customHeight="1" x14ac:dyDescent="0.2">
      <c r="A46" s="82"/>
      <c r="B46" s="230" t="s">
        <v>157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3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7</v>
      </c>
      <c r="CE46" s="271"/>
      <c r="CF46" s="271"/>
      <c r="CG46" s="271"/>
      <c r="CH46" s="265" t="s">
        <v>125</v>
      </c>
      <c r="CI46" s="266">
        <f>FeatSheet!J11</f>
        <v>3</v>
      </c>
      <c r="CJ46" s="266"/>
      <c r="CK46" s="266"/>
      <c r="CL46" s="266"/>
      <c r="CM46" s="265" t="s">
        <v>126</v>
      </c>
      <c r="CN46" s="266">
        <f>ROUNDDOWN(FeatSheet!F11,0)</f>
        <v>4</v>
      </c>
      <c r="CO46" s="266"/>
      <c r="CP46" s="266"/>
      <c r="CQ46" s="266"/>
      <c r="CR46" s="265" t="s">
        <v>126</v>
      </c>
      <c r="CS46" s="266"/>
      <c r="CT46" s="266"/>
      <c r="CU46" s="266"/>
      <c r="CV46" s="26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4"/>
      <c r="CZ47" s="71">
        <v>9</v>
      </c>
    </row>
    <row r="48" spans="1:104" ht="12.75" customHeight="1" thickBot="1" x14ac:dyDescent="0.25">
      <c r="A48" s="82"/>
      <c r="B48" s="223" t="s">
        <v>158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3"/>
      <c r="N48" s="264">
        <f>S48+X48+AC48+AH48</f>
        <v>1</v>
      </c>
      <c r="O48" s="264"/>
      <c r="P48" s="264"/>
      <c r="Q48" s="264"/>
      <c r="R48" s="252" t="s">
        <v>125</v>
      </c>
      <c r="S48" s="235">
        <f>FeatSheet!AK10</f>
        <v>0</v>
      </c>
      <c r="T48" s="235"/>
      <c r="U48" s="235"/>
      <c r="V48" s="235"/>
      <c r="W48" s="252" t="s">
        <v>126</v>
      </c>
      <c r="X48" s="276">
        <f>WISMOD</f>
        <v>1</v>
      </c>
      <c r="Y48" s="276"/>
      <c r="Z48" s="276"/>
      <c r="AA48" s="276"/>
      <c r="AB48" s="252" t="s">
        <v>126</v>
      </c>
      <c r="AC48" s="237">
        <v>0</v>
      </c>
      <c r="AD48" s="237"/>
      <c r="AE48" s="237"/>
      <c r="AF48" s="237"/>
      <c r="AG48" s="252" t="s">
        <v>126</v>
      </c>
      <c r="AH48" s="237"/>
      <c r="AI48" s="237"/>
      <c r="AJ48" s="237"/>
      <c r="AK48" s="237"/>
      <c r="AL48" s="233" t="s">
        <v>126</v>
      </c>
      <c r="AM48" s="277"/>
      <c r="AN48" s="277"/>
      <c r="AO48" s="277"/>
      <c r="AP48" s="27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7</v>
      </c>
      <c r="CE48" s="271"/>
      <c r="CF48" s="271"/>
      <c r="CG48" s="271"/>
      <c r="CH48" s="265" t="s">
        <v>125</v>
      </c>
      <c r="CI48" s="266">
        <f>FeatSheet!J12</f>
        <v>3</v>
      </c>
      <c r="CJ48" s="266"/>
      <c r="CK48" s="266"/>
      <c r="CL48" s="266"/>
      <c r="CM48" s="265" t="s">
        <v>126</v>
      </c>
      <c r="CN48" s="266">
        <f>ROUNDDOWN(FeatSheet!F12,0)</f>
        <v>4</v>
      </c>
      <c r="CO48" s="266"/>
      <c r="CP48" s="266"/>
      <c r="CQ48" s="266"/>
      <c r="CR48" s="265" t="s">
        <v>126</v>
      </c>
      <c r="CS48" s="266"/>
      <c r="CT48" s="266"/>
      <c r="CU48" s="266"/>
      <c r="CV48" s="266"/>
      <c r="CW48" s="152" t="s">
        <v>296</v>
      </c>
    </row>
    <row r="49" spans="1:104" ht="12.75" customHeight="1" thickBot="1" x14ac:dyDescent="0.25">
      <c r="A49" s="8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3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4"/>
      <c r="CZ49" s="71">
        <v>10</v>
      </c>
    </row>
    <row r="50" spans="1:104" ht="13.5" customHeight="1" thickBot="1" x14ac:dyDescent="0.25">
      <c r="A50" s="82"/>
      <c r="B50" s="230" t="s">
        <v>159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3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125</v>
      </c>
      <c r="CI50" s="266">
        <f>FeatSheet!J13</f>
        <v>2</v>
      </c>
      <c r="CJ50" s="266"/>
      <c r="CK50" s="266"/>
      <c r="CL50" s="266"/>
      <c r="CM50" s="265" t="s">
        <v>126</v>
      </c>
      <c r="CN50" s="266">
        <f>ROUNDDOWN(FeatSheet!F13,0)</f>
        <v>0</v>
      </c>
      <c r="CO50" s="266"/>
      <c r="CP50" s="266"/>
      <c r="CQ50" s="266"/>
      <c r="CR50" s="265" t="s">
        <v>126</v>
      </c>
      <c r="CS50" s="266"/>
      <c r="CT50" s="266"/>
      <c r="CU50" s="266"/>
      <c r="CV50" s="26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3</v>
      </c>
      <c r="CE52" s="271"/>
      <c r="CF52" s="271"/>
      <c r="CG52" s="271"/>
      <c r="CH52" s="265" t="s">
        <v>125</v>
      </c>
      <c r="CI52" s="266">
        <f>FeatSheet!J14</f>
        <v>3</v>
      </c>
      <c r="CJ52" s="266"/>
      <c r="CK52" s="266"/>
      <c r="CL52" s="266"/>
      <c r="CM52" s="265" t="s">
        <v>126</v>
      </c>
      <c r="CN52" s="266">
        <f>ROUNDDOWN(FeatSheet!F14,0)</f>
        <v>0</v>
      </c>
      <c r="CO52" s="266"/>
      <c r="CP52" s="266"/>
      <c r="CQ52" s="266"/>
      <c r="CR52" s="265" t="s">
        <v>126</v>
      </c>
      <c r="CS52" s="266"/>
      <c r="CT52" s="266"/>
      <c r="CU52" s="266"/>
      <c r="CV52" s="266"/>
      <c r="CW52" s="152" t="s">
        <v>295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118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82" t="s">
        <v>160</v>
      </c>
      <c r="AB53" s="282"/>
      <c r="AC53" s="282"/>
      <c r="AD53" s="282"/>
      <c r="AE53" s="282"/>
      <c r="AF53" s="282"/>
      <c r="AG53" s="282"/>
      <c r="AH53" s="282"/>
      <c r="AI53" s="282"/>
      <c r="AJ53" s="83"/>
      <c r="AK53" s="282" t="s">
        <v>161</v>
      </c>
      <c r="AL53" s="282"/>
      <c r="AM53" s="282"/>
      <c r="AN53" s="282"/>
      <c r="AO53" s="83"/>
      <c r="AP53" s="282" t="s">
        <v>132</v>
      </c>
      <c r="AQ53" s="282"/>
      <c r="AR53" s="282"/>
      <c r="AS53" s="282"/>
      <c r="AT53" s="83"/>
      <c r="AU53" s="282" t="s">
        <v>134</v>
      </c>
      <c r="AV53" s="282"/>
      <c r="AW53" s="282"/>
      <c r="AX53" s="282"/>
      <c r="AY53" s="83"/>
      <c r="AZ53" s="283" t="s">
        <v>117</v>
      </c>
      <c r="BA53" s="283"/>
      <c r="BB53" s="283"/>
      <c r="BC53" s="283"/>
      <c r="BD53" s="83"/>
      <c r="BE53" s="83"/>
      <c r="BF53" s="83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82"/>
      <c r="AB54" s="282"/>
      <c r="AC54" s="282"/>
      <c r="AD54" s="282"/>
      <c r="AE54" s="282"/>
      <c r="AF54" s="282"/>
      <c r="AG54" s="282"/>
      <c r="AH54" s="282"/>
      <c r="AI54" s="282"/>
      <c r="AJ54" s="83"/>
      <c r="AK54" s="282"/>
      <c r="AL54" s="282"/>
      <c r="AM54" s="282"/>
      <c r="AN54" s="282"/>
      <c r="AO54" s="83"/>
      <c r="AP54" s="282"/>
      <c r="AQ54" s="282"/>
      <c r="AR54" s="282"/>
      <c r="AS54" s="282"/>
      <c r="AT54" s="83"/>
      <c r="AU54" s="282"/>
      <c r="AV54" s="282"/>
      <c r="AW54" s="282"/>
      <c r="AX54" s="282"/>
      <c r="AY54" s="83"/>
      <c r="AZ54" s="283"/>
      <c r="BA54" s="283"/>
      <c r="BB54" s="283"/>
      <c r="BC54" s="283"/>
      <c r="BD54" s="83"/>
      <c r="BE54" s="83"/>
      <c r="BF54" s="83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2</v>
      </c>
      <c r="CE54" s="271"/>
      <c r="CF54" s="271"/>
      <c r="CG54" s="271"/>
      <c r="CH54" s="265" t="s">
        <v>125</v>
      </c>
      <c r="CI54" s="266">
        <f>FeatSheet!J15</f>
        <v>2</v>
      </c>
      <c r="CJ54" s="266"/>
      <c r="CK54" s="266"/>
      <c r="CL54" s="266"/>
      <c r="CM54" s="265" t="s">
        <v>126</v>
      </c>
      <c r="CN54" s="266">
        <f>ROUNDDOWN(FeatSheet!F15,0)</f>
        <v>0</v>
      </c>
      <c r="CO54" s="266"/>
      <c r="CP54" s="266"/>
      <c r="CQ54" s="266"/>
      <c r="CR54" s="265" t="s">
        <v>126</v>
      </c>
      <c r="CS54" s="266"/>
      <c r="CT54" s="266"/>
      <c r="CU54" s="266"/>
      <c r="CV54" s="266"/>
      <c r="CW54" s="84"/>
    </row>
    <row r="55" spans="1:104" ht="12.75" customHeight="1" x14ac:dyDescent="0.2">
      <c r="A55" s="82"/>
      <c r="B55" s="223" t="s">
        <v>122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7"/>
      <c r="N55" s="279">
        <f>STRMOD</f>
        <v>0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125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126</v>
      </c>
      <c r="AK55" s="235"/>
      <c r="AL55" s="235"/>
      <c r="AM55" s="235"/>
      <c r="AN55" s="235"/>
      <c r="AO55" s="252" t="s">
        <v>126</v>
      </c>
      <c r="AP55" s="237"/>
      <c r="AQ55" s="237"/>
      <c r="AR55" s="237"/>
      <c r="AS55" s="237"/>
      <c r="AT55" s="252" t="s">
        <v>126</v>
      </c>
      <c r="AU55" s="237"/>
      <c r="AV55" s="237"/>
      <c r="AW55" s="237"/>
      <c r="AX55" s="237"/>
      <c r="AY55" s="280" t="s">
        <v>126</v>
      </c>
      <c r="AZ55" s="277"/>
      <c r="BA55" s="277"/>
      <c r="BB55" s="277"/>
      <c r="BC55" s="277"/>
      <c r="BD55" s="83"/>
      <c r="BE55" s="83"/>
      <c r="BF55" s="83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4"/>
      <c r="CZ55" s="71">
        <v>13</v>
      </c>
    </row>
    <row r="56" spans="1:104" ht="12.75" customHeight="1" x14ac:dyDescent="0.2">
      <c r="A56" s="8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7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3"/>
      <c r="BE56" s="83"/>
      <c r="BF56" s="83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2</v>
      </c>
      <c r="CE56" s="271"/>
      <c r="CF56" s="271"/>
      <c r="CG56" s="271"/>
      <c r="CH56" s="265" t="s">
        <v>125</v>
      </c>
      <c r="CI56" s="266">
        <f>FeatSheet!J16-ArCkPen</f>
        <v>2</v>
      </c>
      <c r="CJ56" s="266"/>
      <c r="CK56" s="266"/>
      <c r="CL56" s="266"/>
      <c r="CM56" s="265" t="s">
        <v>126</v>
      </c>
      <c r="CN56" s="266">
        <f>ROUNDDOWN(FeatSheet!F16,0)</f>
        <v>0</v>
      </c>
      <c r="CO56" s="266"/>
      <c r="CP56" s="266"/>
      <c r="CQ56" s="266"/>
      <c r="CR56" s="265" t="s">
        <v>126</v>
      </c>
      <c r="CS56" s="266"/>
      <c r="CT56" s="266"/>
      <c r="CU56" s="266"/>
      <c r="CV56" s="266"/>
      <c r="CW56" s="84"/>
    </row>
    <row r="57" spans="1:104" ht="13.5" customHeight="1" x14ac:dyDescent="0.2">
      <c r="A57" s="82"/>
      <c r="B57" s="230" t="s">
        <v>162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8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3"/>
      <c r="BE57" s="83"/>
      <c r="BF57" s="83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 t="str">
        <f>IF(AND(FeatSheet!G17=1,FeatSheet!D17=0)=TRUE,"",(CI58+CN58+CS58))</f>
        <v/>
      </c>
      <c r="CE58" s="271"/>
      <c r="CF58" s="271"/>
      <c r="CG58" s="271"/>
      <c r="CH58" s="265" t="s">
        <v>125</v>
      </c>
      <c r="CI58" s="266">
        <f>FeatSheet!J17</f>
        <v>3</v>
      </c>
      <c r="CJ58" s="266"/>
      <c r="CK58" s="266"/>
      <c r="CL58" s="266"/>
      <c r="CM58" s="265" t="s">
        <v>126</v>
      </c>
      <c r="CN58" s="266">
        <f>ROUNDDOWN(FeatSheet!F17,0)</f>
        <v>0</v>
      </c>
      <c r="CO58" s="266"/>
      <c r="CP58" s="266"/>
      <c r="CQ58" s="266"/>
      <c r="CR58" s="265" t="s">
        <v>126</v>
      </c>
      <c r="CS58" s="266"/>
      <c r="CT58" s="266"/>
      <c r="CU58" s="266"/>
      <c r="CV58" s="266"/>
      <c r="CW58" s="84"/>
    </row>
    <row r="59" spans="1:104" ht="12.75" customHeight="1" x14ac:dyDescent="0.2">
      <c r="A59" s="82"/>
      <c r="B59" s="223" t="s">
        <v>127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7"/>
      <c r="N59" s="279">
        <f>DEXMOD</f>
        <v>2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125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126</v>
      </c>
      <c r="AK59" s="235"/>
      <c r="AL59" s="235"/>
      <c r="AM59" s="235"/>
      <c r="AN59" s="235"/>
      <c r="AO59" s="252" t="s">
        <v>126</v>
      </c>
      <c r="AP59" s="237"/>
      <c r="AQ59" s="237"/>
      <c r="AR59" s="237"/>
      <c r="AS59" s="237"/>
      <c r="AT59" s="252" t="s">
        <v>126</v>
      </c>
      <c r="AU59" s="237"/>
      <c r="AV59" s="237"/>
      <c r="AW59" s="237"/>
      <c r="AX59" s="237"/>
      <c r="AY59" s="280" t="s">
        <v>126</v>
      </c>
      <c r="AZ59" s="277"/>
      <c r="BA59" s="277"/>
      <c r="BB59" s="277"/>
      <c r="BC59" s="277"/>
      <c r="BD59" s="83"/>
      <c r="BE59" s="83"/>
      <c r="BF59" s="83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4"/>
      <c r="CZ59" s="71">
        <v>15</v>
      </c>
    </row>
    <row r="60" spans="1:104" ht="12.75" customHeight="1" x14ac:dyDescent="0.2">
      <c r="A60" s="82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7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3"/>
      <c r="BE60" s="83"/>
      <c r="BF60" s="83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1</v>
      </c>
      <c r="CE60" s="271"/>
      <c r="CF60" s="271"/>
      <c r="CG60" s="271"/>
      <c r="CH60" s="265" t="s">
        <v>125</v>
      </c>
      <c r="CI60" s="266">
        <f>FeatSheet!J18</f>
        <v>1</v>
      </c>
      <c r="CJ60" s="266"/>
      <c r="CK60" s="266"/>
      <c r="CL60" s="266"/>
      <c r="CM60" s="265" t="s">
        <v>126</v>
      </c>
      <c r="CN60" s="266">
        <f>ROUNDDOWN(FeatSheet!F18,0)</f>
        <v>0</v>
      </c>
      <c r="CO60" s="266"/>
      <c r="CP60" s="266"/>
      <c r="CQ60" s="266"/>
      <c r="CR60" s="265" t="s">
        <v>126</v>
      </c>
      <c r="CS60" s="266"/>
      <c r="CT60" s="266"/>
      <c r="CU60" s="266"/>
      <c r="CV60" s="266"/>
      <c r="CW60" s="84"/>
    </row>
    <row r="61" spans="1:104" ht="13.5" customHeight="1" x14ac:dyDescent="0.2">
      <c r="A61" s="82"/>
      <c r="B61" s="230" t="s">
        <v>162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8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3"/>
      <c r="BE61" s="83"/>
      <c r="BF61" s="83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6" t="s">
        <v>118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9"/>
      <c r="AA62" s="262" t="s">
        <v>160</v>
      </c>
      <c r="AB62" s="262"/>
      <c r="AC62" s="262"/>
      <c r="AD62" s="262"/>
      <c r="AE62" s="262"/>
      <c r="AF62" s="262"/>
      <c r="AG62" s="262"/>
      <c r="AH62" s="262"/>
      <c r="AI62" s="262"/>
      <c r="AJ62" s="99"/>
      <c r="AK62" s="262" t="s">
        <v>131</v>
      </c>
      <c r="AL62" s="262"/>
      <c r="AM62" s="262"/>
      <c r="AN62" s="262"/>
      <c r="AO62" s="99"/>
      <c r="AP62" s="262" t="s">
        <v>132</v>
      </c>
      <c r="AQ62" s="262"/>
      <c r="AR62" s="262"/>
      <c r="AS62" s="262"/>
      <c r="AT62" s="99"/>
      <c r="AU62" s="262" t="s">
        <v>134</v>
      </c>
      <c r="AV62" s="262"/>
      <c r="AW62" s="262"/>
      <c r="AX62" s="262"/>
      <c r="AY62" s="99"/>
      <c r="AZ62" s="287" t="s">
        <v>117</v>
      </c>
      <c r="BA62" s="287"/>
      <c r="BB62" s="287"/>
      <c r="BC62" s="287"/>
      <c r="BD62" s="83"/>
      <c r="BE62" s="83"/>
      <c r="BF62" s="83"/>
      <c r="BG62" s="267"/>
      <c r="BH62" s="267"/>
      <c r="BI62" s="268" t="str">
        <f>FeatSheet!C19</f>
        <v>Knowledge (Geography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>
        <f>IF(AND(FeatSheet!G19=1,FeatSheet!D19=0)=TRUE,"",(CI62+CN62+CS62))</f>
        <v>5</v>
      </c>
      <c r="CE62" s="271"/>
      <c r="CF62" s="271"/>
      <c r="CG62" s="271"/>
      <c r="CH62" s="265" t="s">
        <v>125</v>
      </c>
      <c r="CI62" s="266">
        <f>FeatSheet!J19</f>
        <v>2</v>
      </c>
      <c r="CJ62" s="266"/>
      <c r="CK62" s="266"/>
      <c r="CL62" s="266"/>
      <c r="CM62" s="265" t="s">
        <v>126</v>
      </c>
      <c r="CN62" s="266">
        <f>ROUNDDOWN(FeatSheet!F19,0)</f>
        <v>3</v>
      </c>
      <c r="CO62" s="266"/>
      <c r="CP62" s="266"/>
      <c r="CQ62" s="266"/>
      <c r="CR62" s="265" t="s">
        <v>126</v>
      </c>
      <c r="CS62" s="266"/>
      <c r="CT62" s="266"/>
      <c r="CU62" s="266"/>
      <c r="CV62" s="26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9"/>
      <c r="AA63" s="262"/>
      <c r="AB63" s="262"/>
      <c r="AC63" s="262"/>
      <c r="AD63" s="262"/>
      <c r="AE63" s="262"/>
      <c r="AF63" s="262"/>
      <c r="AG63" s="262"/>
      <c r="AH63" s="262"/>
      <c r="AI63" s="262"/>
      <c r="AJ63" s="99"/>
      <c r="AK63" s="262"/>
      <c r="AL63" s="262"/>
      <c r="AM63" s="262"/>
      <c r="AN63" s="262"/>
      <c r="AO63" s="99"/>
      <c r="AP63" s="262"/>
      <c r="AQ63" s="262"/>
      <c r="AR63" s="262"/>
      <c r="AS63" s="262"/>
      <c r="AT63" s="99"/>
      <c r="AU63" s="262"/>
      <c r="AV63" s="262"/>
      <c r="AW63" s="262"/>
      <c r="AX63" s="262"/>
      <c r="AY63" s="99"/>
      <c r="AZ63" s="287"/>
      <c r="BA63" s="287"/>
      <c r="BB63" s="287"/>
      <c r="BC63" s="287"/>
      <c r="BD63" s="83"/>
      <c r="BE63" s="83"/>
      <c r="BF63" s="83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125</v>
      </c>
      <c r="CI64" s="266">
        <f>FeatSheet!J20</f>
        <v>2</v>
      </c>
      <c r="CJ64" s="266"/>
      <c r="CK64" s="266"/>
      <c r="CL64" s="266"/>
      <c r="CM64" s="265" t="s">
        <v>126</v>
      </c>
      <c r="CN64" s="266">
        <f>ROUNDDOWN(FeatSheet!F20,0)</f>
        <v>0</v>
      </c>
      <c r="CO64" s="266"/>
      <c r="CP64" s="266"/>
      <c r="CQ64" s="266"/>
      <c r="CR64" s="265" t="s">
        <v>126</v>
      </c>
      <c r="CS64" s="266"/>
      <c r="CT64" s="266"/>
      <c r="CU64" s="266"/>
      <c r="CV64" s="26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4"/>
      <c r="CZ65" s="71">
        <v>18</v>
      </c>
    </row>
    <row r="66" spans="1:104" ht="12.75" customHeight="1" x14ac:dyDescent="0.2">
      <c r="A66" s="82"/>
      <c r="B66" s="290" t="s">
        <v>163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125</v>
      </c>
      <c r="CI66" s="266">
        <f>FeatSheet!J21</f>
        <v>2</v>
      </c>
      <c r="CJ66" s="266"/>
      <c r="CK66" s="266"/>
      <c r="CL66" s="266"/>
      <c r="CM66" s="265" t="s">
        <v>126</v>
      </c>
      <c r="CN66" s="266">
        <f>ROUNDDOWN(FeatSheet!F21,0)</f>
        <v>0</v>
      </c>
      <c r="CO66" s="266"/>
      <c r="CP66" s="266"/>
      <c r="CQ66" s="266"/>
      <c r="CR66" s="265" t="s">
        <v>126</v>
      </c>
      <c r="CS66" s="266"/>
      <c r="CT66" s="266"/>
      <c r="CU66" s="266"/>
      <c r="CV66" s="266"/>
      <c r="CW66" s="84"/>
    </row>
    <row r="67" spans="1:104" ht="13.5" customHeight="1" x14ac:dyDescent="0.2">
      <c r="A67" s="82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164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165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166</v>
      </c>
      <c r="AV67" s="293"/>
      <c r="AW67" s="293"/>
      <c r="AX67" s="293"/>
      <c r="AY67" s="293"/>
      <c r="AZ67" s="293"/>
      <c r="BA67" s="293"/>
      <c r="BB67" s="293"/>
      <c r="BC67" s="293"/>
      <c r="BD67" s="83"/>
      <c r="BE67" s="83"/>
      <c r="BF67" s="83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4"/>
      <c r="CZ67" s="71">
        <v>19</v>
      </c>
    </row>
    <row r="68" spans="1:104" ht="12.75" customHeight="1" x14ac:dyDescent="0.2">
      <c r="A68" s="82"/>
      <c r="B68" s="288" t="s">
        <v>293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4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301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3"/>
      <c r="BE68" s="83"/>
      <c r="BF68" s="83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125</v>
      </c>
      <c r="CI68" s="266">
        <f>FeatSheet!J22</f>
        <v>2</v>
      </c>
      <c r="CJ68" s="266"/>
      <c r="CK68" s="266"/>
      <c r="CL68" s="266"/>
      <c r="CM68" s="265" t="s">
        <v>126</v>
      </c>
      <c r="CN68" s="266">
        <f>ROUNDDOWN(FeatSheet!F22,0)</f>
        <v>0</v>
      </c>
      <c r="CO68" s="266"/>
      <c r="CP68" s="266"/>
      <c r="CQ68" s="266"/>
      <c r="CR68" s="265" t="s">
        <v>126</v>
      </c>
      <c r="CS68" s="266"/>
      <c r="CT68" s="266"/>
      <c r="CU68" s="266"/>
      <c r="CV68" s="266"/>
      <c r="CW68" s="84"/>
    </row>
    <row r="69" spans="1:104" ht="12.75" customHeight="1" x14ac:dyDescent="0.2">
      <c r="A69" s="82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3"/>
      <c r="BE69" s="83"/>
      <c r="BF69" s="83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4"/>
      <c r="CZ69" s="71">
        <v>20</v>
      </c>
    </row>
    <row r="70" spans="1:104" ht="13.5" customHeight="1" x14ac:dyDescent="0.2">
      <c r="A70" s="82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3"/>
      <c r="BE70" s="83"/>
      <c r="BF70" s="83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1</v>
      </c>
      <c r="CE70" s="271"/>
      <c r="CF70" s="271"/>
      <c r="CG70" s="271"/>
      <c r="CH70" s="265" t="s">
        <v>125</v>
      </c>
      <c r="CI70" s="266">
        <f>FeatSheet!J23</f>
        <v>1</v>
      </c>
      <c r="CJ70" s="266"/>
      <c r="CK70" s="266"/>
      <c r="CL70" s="266"/>
      <c r="CM70" s="265" t="s">
        <v>126</v>
      </c>
      <c r="CN70" s="266">
        <f>ROUNDDOWN(FeatSheet!F23,0)</f>
        <v>0</v>
      </c>
      <c r="CO70" s="266"/>
      <c r="CP70" s="266"/>
      <c r="CQ70" s="266"/>
      <c r="CR70" s="265" t="s">
        <v>126</v>
      </c>
      <c r="CS70" s="266"/>
      <c r="CT70" s="266"/>
      <c r="CU70" s="266"/>
      <c r="CV70" s="266"/>
      <c r="CW70" s="84"/>
    </row>
    <row r="71" spans="1:104" ht="13.5" customHeight="1" x14ac:dyDescent="0.2">
      <c r="A71" s="82"/>
      <c r="B71" s="284" t="s">
        <v>167</v>
      </c>
      <c r="C71" s="284"/>
      <c r="D71" s="284"/>
      <c r="E71" s="284"/>
      <c r="F71" s="284"/>
      <c r="G71" s="285" t="s">
        <v>109</v>
      </c>
      <c r="H71" s="285"/>
      <c r="I71" s="285"/>
      <c r="J71" s="285"/>
      <c r="K71" s="285"/>
      <c r="L71" s="285" t="s">
        <v>168</v>
      </c>
      <c r="M71" s="285"/>
      <c r="N71" s="285"/>
      <c r="O71" s="285"/>
      <c r="P71" s="285"/>
      <c r="Q71" s="285"/>
      <c r="R71" s="285"/>
      <c r="S71" s="285"/>
      <c r="T71" s="285"/>
      <c r="U71" s="285" t="s">
        <v>106</v>
      </c>
      <c r="V71" s="285"/>
      <c r="W71" s="285"/>
      <c r="X71" s="285"/>
      <c r="Y71" s="285"/>
      <c r="Z71" s="285"/>
      <c r="AA71" s="291" t="s">
        <v>169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3"/>
      <c r="BE71" s="83"/>
      <c r="BF71" s="83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4"/>
      <c r="CZ71" s="71">
        <v>21</v>
      </c>
    </row>
    <row r="72" spans="1:104" ht="12.75" customHeight="1" x14ac:dyDescent="0.2">
      <c r="A72" s="82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3"/>
      <c r="BE72" s="83"/>
      <c r="BF72" s="83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3</v>
      </c>
      <c r="CE72" s="271"/>
      <c r="CF72" s="271"/>
      <c r="CG72" s="271"/>
      <c r="CH72" s="265" t="s">
        <v>125</v>
      </c>
      <c r="CI72" s="266">
        <f>FeatSheet!J24</f>
        <v>3</v>
      </c>
      <c r="CJ72" s="266"/>
      <c r="CK72" s="266"/>
      <c r="CL72" s="266"/>
      <c r="CM72" s="265" t="s">
        <v>126</v>
      </c>
      <c r="CN72" s="266">
        <f>ROUNDDOWN(FeatSheet!F24,0)</f>
        <v>0</v>
      </c>
      <c r="CO72" s="266"/>
      <c r="CP72" s="266"/>
      <c r="CQ72" s="266"/>
      <c r="CR72" s="265" t="s">
        <v>126</v>
      </c>
      <c r="CS72" s="266"/>
      <c r="CT72" s="266"/>
      <c r="CU72" s="266"/>
      <c r="CV72" s="266"/>
      <c r="CW72" s="84"/>
    </row>
    <row r="73" spans="1:104" ht="12.75" customHeight="1" x14ac:dyDescent="0.2">
      <c r="A73" s="82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3"/>
      <c r="BE73" s="83"/>
      <c r="BF73" s="83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4"/>
      <c r="CZ73" s="71">
        <v>22</v>
      </c>
    </row>
    <row r="74" spans="1:104" ht="13.5" customHeight="1" x14ac:dyDescent="0.2">
      <c r="A74" s="82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3"/>
      <c r="BE74" s="83"/>
      <c r="BF74" s="83"/>
      <c r="BG74" s="267"/>
      <c r="BH74" s="267"/>
      <c r="BI74" s="268" t="str">
        <f>FeatSheet!C25</f>
        <v>Profession ( Farmer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>
        <f>IF(AND(FeatSheet!G25=1,FeatSheet!D25=0)=TRUE,"",(CI74+CN74+CS74))</f>
        <v>5</v>
      </c>
      <c r="CE74" s="271"/>
      <c r="CF74" s="271"/>
      <c r="CG74" s="271"/>
      <c r="CH74" s="265" t="s">
        <v>125</v>
      </c>
      <c r="CI74" s="266">
        <f>FeatSheet!J25</f>
        <v>1</v>
      </c>
      <c r="CJ74" s="266"/>
      <c r="CK74" s="266"/>
      <c r="CL74" s="266"/>
      <c r="CM74" s="265" t="s">
        <v>126</v>
      </c>
      <c r="CN74" s="266">
        <f>ROUNDDOWN(FeatSheet!F25,0)</f>
        <v>4</v>
      </c>
      <c r="CO74" s="266"/>
      <c r="CP74" s="266"/>
      <c r="CQ74" s="266"/>
      <c r="CR74" s="265" t="s">
        <v>126</v>
      </c>
      <c r="CS74" s="266"/>
      <c r="CT74" s="266"/>
      <c r="CU74" s="266"/>
      <c r="CV74" s="26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4"/>
      <c r="CZ75" s="71">
        <v>23</v>
      </c>
    </row>
    <row r="76" spans="1:104" ht="12.75" customHeight="1" x14ac:dyDescent="0.2">
      <c r="A76" s="82"/>
      <c r="B76" s="290" t="s">
        <v>163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7"/>
      <c r="BH76" s="267"/>
      <c r="BI76" s="268" t="str">
        <f>FeatSheet!C26</f>
        <v>Profession ( Border Guard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>
        <f>IF(AND(FeatSheet!G26=1,FeatSheet!D26=0)=TRUE,"",(CI76+CN76+CS76))</f>
        <v>5</v>
      </c>
      <c r="CE76" s="271"/>
      <c r="CF76" s="271"/>
      <c r="CG76" s="271"/>
      <c r="CH76" s="265" t="s">
        <v>125</v>
      </c>
      <c r="CI76" s="266">
        <f>FeatSheet!J26</f>
        <v>1</v>
      </c>
      <c r="CJ76" s="266"/>
      <c r="CK76" s="266"/>
      <c r="CL76" s="266"/>
      <c r="CM76" s="265" t="s">
        <v>126</v>
      </c>
      <c r="CN76" s="266">
        <f>ROUNDDOWN(FeatSheet!F26,0)</f>
        <v>4</v>
      </c>
      <c r="CO76" s="266"/>
      <c r="CP76" s="266"/>
      <c r="CQ76" s="266"/>
      <c r="CR76" s="265" t="s">
        <v>126</v>
      </c>
      <c r="CS76" s="297"/>
      <c r="CT76" s="297"/>
      <c r="CU76" s="297"/>
      <c r="CV76" s="297"/>
      <c r="CW76" s="84"/>
    </row>
    <row r="77" spans="1:104" ht="13.5" customHeight="1" x14ac:dyDescent="0.2">
      <c r="A77" s="82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164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165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166</v>
      </c>
      <c r="AV77" s="293"/>
      <c r="AW77" s="293"/>
      <c r="AX77" s="293"/>
      <c r="AY77" s="293"/>
      <c r="AZ77" s="293"/>
      <c r="BA77" s="293"/>
      <c r="BB77" s="293"/>
      <c r="BC77" s="293"/>
      <c r="BD77" s="83"/>
      <c r="BE77" s="83"/>
      <c r="BF77" s="83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4"/>
      <c r="CZ77" s="71">
        <v>24</v>
      </c>
    </row>
    <row r="78" spans="1:104" ht="12.75" customHeight="1" x14ac:dyDescent="0.2">
      <c r="A78" s="82"/>
      <c r="B78" s="298"/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4</v>
      </c>
      <c r="T78" s="289"/>
      <c r="U78" s="289"/>
      <c r="V78" s="296">
        <f>BAB_2+STRMOD</f>
        <v>2</v>
      </c>
      <c r="W78" s="296"/>
      <c r="X78" s="296"/>
      <c r="Y78" s="289">
        <f>BAB_3+STRMOD</f>
        <v>0</v>
      </c>
      <c r="Z78" s="289"/>
      <c r="AA78" s="289"/>
      <c r="AB78" s="289"/>
      <c r="AC78" s="289"/>
      <c r="AD78" s="289"/>
      <c r="AE78" s="289"/>
      <c r="AF78" s="289"/>
      <c r="AG78" s="289"/>
      <c r="AH78" s="292"/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3"/>
      <c r="BE78" s="83"/>
      <c r="BF78" s="83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125</v>
      </c>
      <c r="CI78" s="266">
        <f>FeatSheet!J27</f>
        <v>1</v>
      </c>
      <c r="CJ78" s="266"/>
      <c r="CK78" s="266"/>
      <c r="CL78" s="266"/>
      <c r="CM78" s="265" t="s">
        <v>126</v>
      </c>
      <c r="CN78" s="266">
        <f>ROUNDDOWN(FeatSheet!F27,0)</f>
        <v>0</v>
      </c>
      <c r="CO78" s="266"/>
      <c r="CP78" s="266"/>
      <c r="CQ78" s="266"/>
      <c r="CR78" s="265" t="s">
        <v>126</v>
      </c>
      <c r="CS78" s="266"/>
      <c r="CT78" s="266"/>
      <c r="CU78" s="266"/>
      <c r="CV78" s="266"/>
      <c r="CW78" s="84"/>
    </row>
    <row r="79" spans="1:104" ht="12.75" customHeight="1" x14ac:dyDescent="0.2">
      <c r="A79" s="82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3"/>
      <c r="BE79" s="83"/>
      <c r="BF79" s="83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4"/>
      <c r="CZ79" s="71">
        <v>25</v>
      </c>
    </row>
    <row r="80" spans="1:104" ht="13.5" customHeight="1" x14ac:dyDescent="0.2">
      <c r="A80" s="82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3"/>
      <c r="BE80" s="83"/>
      <c r="BF80" s="83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125</v>
      </c>
      <c r="CI80" s="266">
        <f>FeatSheet!J28</f>
        <v>1</v>
      </c>
      <c r="CJ80" s="266"/>
      <c r="CK80" s="266"/>
      <c r="CL80" s="266"/>
      <c r="CM80" s="265" t="s">
        <v>126</v>
      </c>
      <c r="CN80" s="266">
        <f>ROUNDDOWN(FeatSheet!F28,0)</f>
        <v>0</v>
      </c>
      <c r="CO80" s="266"/>
      <c r="CP80" s="266"/>
      <c r="CQ80" s="266"/>
      <c r="CR80" s="265" t="s">
        <v>126</v>
      </c>
      <c r="CS80" s="297"/>
      <c r="CT80" s="297"/>
      <c r="CU80" s="297"/>
      <c r="CV80" s="297"/>
      <c r="CW80" s="84"/>
    </row>
    <row r="81" spans="1:104" ht="13.5" customHeight="1" thickBot="1" x14ac:dyDescent="0.25">
      <c r="A81" s="82"/>
      <c r="B81" s="284" t="s">
        <v>167</v>
      </c>
      <c r="C81" s="284"/>
      <c r="D81" s="284"/>
      <c r="E81" s="284"/>
      <c r="F81" s="284"/>
      <c r="G81" s="285" t="s">
        <v>109</v>
      </c>
      <c r="H81" s="285"/>
      <c r="I81" s="285"/>
      <c r="J81" s="285"/>
      <c r="K81" s="285"/>
      <c r="L81" s="285" t="s">
        <v>168</v>
      </c>
      <c r="M81" s="285"/>
      <c r="N81" s="285"/>
      <c r="O81" s="285"/>
      <c r="P81" s="285"/>
      <c r="Q81" s="285"/>
      <c r="R81" s="285"/>
      <c r="S81" s="285"/>
      <c r="T81" s="285"/>
      <c r="U81" s="285" t="s">
        <v>106</v>
      </c>
      <c r="V81" s="285"/>
      <c r="W81" s="285"/>
      <c r="X81" s="285"/>
      <c r="Y81" s="285"/>
      <c r="Z81" s="285"/>
      <c r="AA81" s="291" t="s">
        <v>169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3"/>
      <c r="BE81" s="83"/>
      <c r="BF81" s="83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4"/>
      <c r="CZ81" s="71">
        <v>26</v>
      </c>
    </row>
    <row r="82" spans="1:104" ht="12.75" customHeight="1" thickBot="1" x14ac:dyDescent="0.25">
      <c r="A82" s="82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3"/>
      <c r="BE82" s="83"/>
      <c r="BF82" s="83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125</v>
      </c>
      <c r="CI82" s="266">
        <f>FeatSheet!J29</f>
        <v>2</v>
      </c>
      <c r="CJ82" s="266"/>
      <c r="CK82" s="266"/>
      <c r="CL82" s="266"/>
      <c r="CM82" s="265" t="s">
        <v>126</v>
      </c>
      <c r="CN82" s="266">
        <f>ROUNDDOWN(FeatSheet!F29,0)</f>
        <v>0</v>
      </c>
      <c r="CO82" s="266"/>
      <c r="CP82" s="266"/>
      <c r="CQ82" s="266"/>
      <c r="CR82" s="265" t="s">
        <v>126</v>
      </c>
      <c r="CS82" s="297"/>
      <c r="CT82" s="297"/>
      <c r="CU82" s="297"/>
      <c r="CV82" s="297"/>
      <c r="CW82" s="84"/>
    </row>
    <row r="83" spans="1:104" ht="12.75" customHeight="1" thickBot="1" x14ac:dyDescent="0.25">
      <c r="A83" s="82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3"/>
      <c r="BE83" s="83"/>
      <c r="BF83" s="83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4"/>
      <c r="CZ83" s="71">
        <v>27</v>
      </c>
    </row>
    <row r="84" spans="1:104" ht="13.5" customHeight="1" thickBot="1" x14ac:dyDescent="0.25">
      <c r="A84" s="82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3"/>
      <c r="BE84" s="83"/>
      <c r="BF84" s="83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4</v>
      </c>
      <c r="CE84" s="271"/>
      <c r="CF84" s="271"/>
      <c r="CG84" s="271"/>
      <c r="CH84" s="265" t="s">
        <v>125</v>
      </c>
      <c r="CI84" s="266">
        <f>FeatSheet!J30</f>
        <v>2</v>
      </c>
      <c r="CJ84" s="266"/>
      <c r="CK84" s="266"/>
      <c r="CL84" s="266"/>
      <c r="CM84" s="265" t="s">
        <v>126</v>
      </c>
      <c r="CN84" s="266">
        <f>ROUNDDOWN(FeatSheet!F30,0)</f>
        <v>2</v>
      </c>
      <c r="CO84" s="266"/>
      <c r="CP84" s="266"/>
      <c r="CQ84" s="266"/>
      <c r="CR84" s="265" t="s">
        <v>126</v>
      </c>
      <c r="CS84" s="297"/>
      <c r="CT84" s="297"/>
      <c r="CU84" s="297"/>
      <c r="CV84" s="297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4"/>
      <c r="CZ85" s="71">
        <v>28</v>
      </c>
    </row>
    <row r="86" spans="1:104" ht="12.75" customHeight="1" x14ac:dyDescent="0.2">
      <c r="A86" s="82"/>
      <c r="B86" s="290" t="s">
        <v>163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2</v>
      </c>
      <c r="CE86" s="271"/>
      <c r="CF86" s="271"/>
      <c r="CG86" s="271"/>
      <c r="CH86" s="265" t="s">
        <v>125</v>
      </c>
      <c r="CI86" s="266">
        <f>FeatSheet!J31</f>
        <v>2</v>
      </c>
      <c r="CJ86" s="266"/>
      <c r="CK86" s="266"/>
      <c r="CL86" s="266"/>
      <c r="CM86" s="265" t="s">
        <v>126</v>
      </c>
      <c r="CN86" s="266">
        <f>ROUNDDOWN(FeatSheet!F31,0)</f>
        <v>0</v>
      </c>
      <c r="CO86" s="266"/>
      <c r="CP86" s="266"/>
      <c r="CQ86" s="266"/>
      <c r="CR86" s="265" t="s">
        <v>126</v>
      </c>
      <c r="CS86" s="297"/>
      <c r="CT86" s="297"/>
      <c r="CU86" s="297"/>
      <c r="CV86" s="297"/>
      <c r="CW86" s="84"/>
    </row>
    <row r="87" spans="1:104" ht="13.5" customHeight="1" thickBot="1" x14ac:dyDescent="0.25">
      <c r="A87" s="82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164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165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166</v>
      </c>
      <c r="AV87" s="293"/>
      <c r="AW87" s="293"/>
      <c r="AX87" s="293"/>
      <c r="AY87" s="293"/>
      <c r="AZ87" s="293"/>
      <c r="BA87" s="293"/>
      <c r="BB87" s="293"/>
      <c r="BC87" s="293"/>
      <c r="BD87" s="83"/>
      <c r="BE87" s="83"/>
      <c r="BF87" s="83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4"/>
      <c r="CZ87" s="71">
        <v>29</v>
      </c>
    </row>
    <row r="88" spans="1:104" ht="12.75" customHeight="1" thickBot="1" x14ac:dyDescent="0.25">
      <c r="A88" s="82"/>
      <c r="B88" s="298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4</v>
      </c>
      <c r="T88" s="289"/>
      <c r="U88" s="289"/>
      <c r="V88" s="289">
        <f>BAB_2+STRMOD</f>
        <v>2</v>
      </c>
      <c r="W88" s="289"/>
      <c r="X88" s="289"/>
      <c r="Y88" s="289">
        <f>BAB_3+STRMOD</f>
        <v>0</v>
      </c>
      <c r="Z88" s="289"/>
      <c r="AA88" s="289"/>
      <c r="AB88" s="289"/>
      <c r="AC88" s="289"/>
      <c r="AD88" s="289"/>
      <c r="AE88" s="289"/>
      <c r="AF88" s="289"/>
      <c r="AG88" s="289"/>
      <c r="AH88" s="292"/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3"/>
      <c r="BE88" s="83"/>
      <c r="BF88" s="83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5</v>
      </c>
      <c r="CE88" s="271"/>
      <c r="CF88" s="271"/>
      <c r="CG88" s="271"/>
      <c r="CH88" s="265" t="s">
        <v>125</v>
      </c>
      <c r="CI88" s="266">
        <f>FeatSheet!J32</f>
        <v>1</v>
      </c>
      <c r="CJ88" s="266"/>
      <c r="CK88" s="266"/>
      <c r="CL88" s="266"/>
      <c r="CM88" s="265" t="s">
        <v>126</v>
      </c>
      <c r="CN88" s="266">
        <f>ROUNDDOWN(FeatSheet!F32,0)</f>
        <v>4</v>
      </c>
      <c r="CO88" s="266"/>
      <c r="CP88" s="266"/>
      <c r="CQ88" s="266"/>
      <c r="CR88" s="265" t="s">
        <v>126</v>
      </c>
      <c r="CS88" s="297"/>
      <c r="CT88" s="297"/>
      <c r="CU88" s="297"/>
      <c r="CV88" s="297"/>
      <c r="CW88" s="84"/>
    </row>
    <row r="89" spans="1:104" ht="12.75" customHeight="1" thickBot="1" x14ac:dyDescent="0.25">
      <c r="A89" s="82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3"/>
      <c r="BE89" s="83"/>
      <c r="BF89" s="83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4"/>
      <c r="CZ89" s="71">
        <v>30</v>
      </c>
    </row>
    <row r="90" spans="1:104" ht="13.5" customHeight="1" thickBot="1" x14ac:dyDescent="0.25">
      <c r="A90" s="82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3"/>
      <c r="BE90" s="83"/>
      <c r="BF90" s="83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125</v>
      </c>
      <c r="CI90" s="266">
        <f>FeatSheet!J33</f>
        <v>2</v>
      </c>
      <c r="CJ90" s="266"/>
      <c r="CK90" s="266"/>
      <c r="CL90" s="266"/>
      <c r="CM90" s="265" t="s">
        <v>126</v>
      </c>
      <c r="CN90" s="266">
        <f>ROUNDDOWN(FeatSheet!F33,0)</f>
        <v>0</v>
      </c>
      <c r="CO90" s="266"/>
      <c r="CP90" s="266"/>
      <c r="CQ90" s="266"/>
      <c r="CR90" s="265" t="s">
        <v>126</v>
      </c>
      <c r="CS90" s="266"/>
      <c r="CT90" s="266"/>
      <c r="CU90" s="266"/>
      <c r="CV90" s="266"/>
      <c r="CW90" s="84"/>
    </row>
    <row r="91" spans="1:104" ht="13.5" customHeight="1" thickBot="1" x14ac:dyDescent="0.25">
      <c r="A91" s="82"/>
      <c r="B91" s="284" t="s">
        <v>167</v>
      </c>
      <c r="C91" s="284"/>
      <c r="D91" s="284"/>
      <c r="E91" s="284"/>
      <c r="F91" s="284"/>
      <c r="G91" s="285" t="s">
        <v>109</v>
      </c>
      <c r="H91" s="285"/>
      <c r="I91" s="285"/>
      <c r="J91" s="285"/>
      <c r="K91" s="285"/>
      <c r="L91" s="285" t="s">
        <v>168</v>
      </c>
      <c r="M91" s="285"/>
      <c r="N91" s="285"/>
      <c r="O91" s="285"/>
      <c r="P91" s="285"/>
      <c r="Q91" s="285"/>
      <c r="R91" s="285"/>
      <c r="S91" s="285"/>
      <c r="T91" s="285"/>
      <c r="U91" s="285" t="s">
        <v>106</v>
      </c>
      <c r="V91" s="285"/>
      <c r="W91" s="285"/>
      <c r="X91" s="285"/>
      <c r="Y91" s="285"/>
      <c r="Z91" s="285"/>
      <c r="AA91" s="291" t="s">
        <v>169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3"/>
      <c r="BE91" s="83"/>
      <c r="BF91" s="83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4"/>
      <c r="CZ91" s="71">
        <v>31</v>
      </c>
    </row>
    <row r="92" spans="1:104" ht="12.75" customHeight="1" thickBot="1" x14ac:dyDescent="0.25">
      <c r="A92" s="8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3"/>
      <c r="BE92" s="83"/>
      <c r="BF92" s="83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125</v>
      </c>
      <c r="CI92" s="266">
        <f>FeatSheet!J34-ArCkPen</f>
        <v>2</v>
      </c>
      <c r="CJ92" s="266"/>
      <c r="CK92" s="266"/>
      <c r="CL92" s="266"/>
      <c r="CM92" s="265" t="s">
        <v>126</v>
      </c>
      <c r="CN92" s="266">
        <f>ROUNDDOWN(FeatSheet!F34,0)</f>
        <v>0</v>
      </c>
      <c r="CO92" s="266"/>
      <c r="CP92" s="266"/>
      <c r="CQ92" s="266"/>
      <c r="CR92" s="265" t="s">
        <v>126</v>
      </c>
      <c r="CS92" s="297"/>
      <c r="CT92" s="297"/>
      <c r="CU92" s="297"/>
      <c r="CV92" s="297"/>
      <c r="CW92" s="84"/>
    </row>
    <row r="93" spans="1:104" ht="12.75" customHeight="1" thickBot="1" x14ac:dyDescent="0.25">
      <c r="A93" s="82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3"/>
      <c r="BE93" s="83"/>
      <c r="BF93" s="83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4"/>
      <c r="CZ93" s="71">
        <v>32</v>
      </c>
    </row>
    <row r="94" spans="1:104" ht="13.5" customHeight="1" thickBot="1" x14ac:dyDescent="0.25">
      <c r="A94" s="82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3"/>
      <c r="BE94" s="83"/>
      <c r="BF94" s="83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6</v>
      </c>
      <c r="CE94" s="271"/>
      <c r="CF94" s="271"/>
      <c r="CG94" s="271"/>
      <c r="CH94" s="265" t="s">
        <v>125</v>
      </c>
      <c r="CI94" s="266">
        <f>FeatSheet!J35</f>
        <v>2</v>
      </c>
      <c r="CJ94" s="266"/>
      <c r="CK94" s="266"/>
      <c r="CL94" s="266"/>
      <c r="CM94" s="265" t="s">
        <v>126</v>
      </c>
      <c r="CN94" s="266">
        <f>ROUNDDOWN(FeatSheet!F35,0)</f>
        <v>4</v>
      </c>
      <c r="CO94" s="266"/>
      <c r="CP94" s="266"/>
      <c r="CQ94" s="266"/>
      <c r="CR94" s="265" t="s">
        <v>126</v>
      </c>
      <c r="CS94" s="297"/>
      <c r="CT94" s="297"/>
      <c r="CU94" s="297"/>
      <c r="CV94" s="29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4"/>
      <c r="CZ95" s="71">
        <v>33</v>
      </c>
    </row>
    <row r="96" spans="1:104" ht="12.75" customHeight="1" thickBot="1" x14ac:dyDescent="0.25">
      <c r="A96" s="82"/>
      <c r="B96" s="290" t="s">
        <v>163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0</v>
      </c>
      <c r="CE96" s="271"/>
      <c r="CF96" s="271"/>
      <c r="CG96" s="271"/>
      <c r="CH96" s="265" t="s">
        <v>125</v>
      </c>
      <c r="CI96" s="266">
        <f>FeatSheet!J36-ArCkPen</f>
        <v>0</v>
      </c>
      <c r="CJ96" s="266"/>
      <c r="CK96" s="266"/>
      <c r="CL96" s="266"/>
      <c r="CM96" s="265" t="s">
        <v>126</v>
      </c>
      <c r="CN96" s="266">
        <f>ROUNDDOWN(FeatSheet!F36,0)</f>
        <v>0</v>
      </c>
      <c r="CO96" s="266"/>
      <c r="CP96" s="266"/>
      <c r="CQ96" s="266"/>
      <c r="CR96" s="265" t="s">
        <v>126</v>
      </c>
      <c r="CS96" s="266"/>
      <c r="CT96" s="266"/>
      <c r="CU96" s="266"/>
      <c r="CV96" s="266"/>
      <c r="CW96" s="84"/>
    </row>
    <row r="97" spans="1:104" ht="13.5" customHeight="1" thickBot="1" x14ac:dyDescent="0.25">
      <c r="A97" s="82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164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165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166</v>
      </c>
      <c r="AV97" s="293"/>
      <c r="AW97" s="293"/>
      <c r="AX97" s="293"/>
      <c r="AY97" s="293"/>
      <c r="AZ97" s="293"/>
      <c r="BA97" s="293"/>
      <c r="BB97" s="293"/>
      <c r="BC97" s="293"/>
      <c r="BD97" s="83"/>
      <c r="BE97" s="83"/>
      <c r="BF97" s="83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4"/>
      <c r="CZ97" s="71">
        <v>34</v>
      </c>
    </row>
    <row r="98" spans="1:104" ht="12.75" customHeight="1" thickBot="1" x14ac:dyDescent="0.25">
      <c r="A98" s="82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4</v>
      </c>
      <c r="T98" s="289"/>
      <c r="U98" s="289"/>
      <c r="V98" s="289">
        <f>BAB_1+STRMOD</f>
        <v>4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3"/>
      <c r="BE98" s="83"/>
      <c r="BF98" s="83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4</v>
      </c>
      <c r="CE98" s="271"/>
      <c r="CF98" s="271"/>
      <c r="CG98" s="271"/>
      <c r="CH98" s="265" t="s">
        <v>125</v>
      </c>
      <c r="CI98" s="266">
        <f>FeatSheet!J37</f>
        <v>2</v>
      </c>
      <c r="CJ98" s="266"/>
      <c r="CK98" s="266"/>
      <c r="CL98" s="266"/>
      <c r="CM98" s="265" t="s">
        <v>126</v>
      </c>
      <c r="CN98" s="266">
        <f>ROUNDDOWN(FeatSheet!F37,0)</f>
        <v>2</v>
      </c>
      <c r="CO98" s="266"/>
      <c r="CP98" s="266"/>
      <c r="CQ98" s="266"/>
      <c r="CR98" s="265" t="s">
        <v>126</v>
      </c>
      <c r="CS98" s="297"/>
      <c r="CT98" s="297"/>
      <c r="CU98" s="297"/>
      <c r="CV98" s="297"/>
      <c r="CW98" s="84"/>
    </row>
    <row r="99" spans="1:104" ht="12.75" customHeight="1" thickBot="1" x14ac:dyDescent="0.25">
      <c r="A99" s="82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3"/>
      <c r="BE99" s="83"/>
      <c r="BF99" s="83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4"/>
      <c r="CZ99" s="71">
        <v>35</v>
      </c>
    </row>
    <row r="100" spans="1:104" ht="13.5" customHeight="1" thickBot="1" x14ac:dyDescent="0.25">
      <c r="A100" s="82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3"/>
      <c r="BE100" s="83"/>
      <c r="BF100" s="83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125</v>
      </c>
      <c r="CI100" s="266">
        <f>FeatSheet!J38</f>
        <v>3</v>
      </c>
      <c r="CJ100" s="266"/>
      <c r="CK100" s="266"/>
      <c r="CL100" s="266"/>
      <c r="CM100" s="265" t="s">
        <v>126</v>
      </c>
      <c r="CN100" s="266">
        <f>ROUNDDOWN(FeatSheet!F38,0)</f>
        <v>0</v>
      </c>
      <c r="CO100" s="266"/>
      <c r="CP100" s="266"/>
      <c r="CQ100" s="266"/>
      <c r="CR100" s="265" t="s">
        <v>126</v>
      </c>
      <c r="CS100" s="297"/>
      <c r="CT100" s="297"/>
      <c r="CU100" s="297"/>
      <c r="CV100" s="297"/>
      <c r="CW100" s="84"/>
    </row>
    <row r="101" spans="1:104" ht="13.5" customHeight="1" thickBot="1" x14ac:dyDescent="0.25">
      <c r="A101" s="82"/>
      <c r="B101" s="284" t="s">
        <v>167</v>
      </c>
      <c r="C101" s="284"/>
      <c r="D101" s="284"/>
      <c r="E101" s="284"/>
      <c r="F101" s="284"/>
      <c r="G101" s="285" t="s">
        <v>109</v>
      </c>
      <c r="H101" s="285"/>
      <c r="I101" s="285"/>
      <c r="J101" s="285"/>
      <c r="K101" s="285"/>
      <c r="L101" s="285" t="s">
        <v>168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106</v>
      </c>
      <c r="V101" s="285"/>
      <c r="W101" s="285"/>
      <c r="X101" s="285"/>
      <c r="Y101" s="285"/>
      <c r="Z101" s="285"/>
      <c r="AA101" s="291" t="s">
        <v>169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3"/>
      <c r="BE101" s="83"/>
      <c r="BF101" s="83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4"/>
      <c r="CZ101" s="71">
        <v>36</v>
      </c>
    </row>
    <row r="102" spans="1:104" ht="13.5" customHeight="1" thickBot="1" x14ac:dyDescent="0.25">
      <c r="A102" s="82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3"/>
      <c r="BE102" s="83"/>
      <c r="BF102" s="83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3</v>
      </c>
      <c r="CE102" s="271"/>
      <c r="CF102" s="271"/>
      <c r="CG102" s="271"/>
      <c r="CH102" s="265" t="s">
        <v>125</v>
      </c>
      <c r="CI102" s="266">
        <f>FeatSheet!J39</f>
        <v>2</v>
      </c>
      <c r="CJ102" s="266"/>
      <c r="CK102" s="266"/>
      <c r="CL102" s="266"/>
      <c r="CM102" s="265" t="s">
        <v>126</v>
      </c>
      <c r="CN102" s="266">
        <f>ROUNDDOWN(FeatSheet!F39,0)</f>
        <v>1</v>
      </c>
      <c r="CO102" s="266"/>
      <c r="CP102" s="266"/>
      <c r="CQ102" s="266"/>
      <c r="CR102" s="265" t="s">
        <v>126</v>
      </c>
      <c r="CS102" s="297"/>
      <c r="CT102" s="297"/>
      <c r="CU102" s="297"/>
      <c r="CV102" s="297"/>
      <c r="CW102" s="84" t="s">
        <v>297</v>
      </c>
    </row>
    <row r="103" spans="1:104" ht="12.75" customHeight="1" thickBot="1" x14ac:dyDescent="0.25">
      <c r="A103" s="82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3"/>
      <c r="BE103" s="83"/>
      <c r="BF103" s="83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4"/>
      <c r="CZ103" s="71">
        <v>37</v>
      </c>
    </row>
    <row r="104" spans="1:104" ht="13.5" customHeight="1" thickBot="1" x14ac:dyDescent="0.25">
      <c r="A104" s="82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3"/>
      <c r="BE104" s="83"/>
      <c r="BF104" s="83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3</v>
      </c>
      <c r="CE104" s="271"/>
      <c r="CF104" s="271"/>
      <c r="CG104" s="271"/>
      <c r="CH104" s="265" t="s">
        <v>125</v>
      </c>
      <c r="CI104" s="266">
        <f>FeatSheet!J40</f>
        <v>1</v>
      </c>
      <c r="CJ104" s="266"/>
      <c r="CK104" s="266"/>
      <c r="CL104" s="266"/>
      <c r="CM104" s="265" t="s">
        <v>126</v>
      </c>
      <c r="CN104" s="266">
        <f>ROUNDDOWN(FeatSheet!F40,0)</f>
        <v>2</v>
      </c>
      <c r="CO104" s="266"/>
      <c r="CP104" s="266"/>
      <c r="CQ104" s="266"/>
      <c r="CR104" s="265" t="s">
        <v>126</v>
      </c>
      <c r="CS104" s="297"/>
      <c r="CT104" s="297"/>
      <c r="CU104" s="297"/>
      <c r="CV104" s="29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4"/>
      <c r="CZ105" s="71">
        <v>38</v>
      </c>
    </row>
    <row r="106" spans="1:104" ht="12.75" customHeight="1" x14ac:dyDescent="0.2">
      <c r="A106" s="82"/>
      <c r="B106" s="290" t="s">
        <v>163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7"/>
      <c r="BH106" s="267"/>
      <c r="BI106" s="268" t="str">
        <f>FeatSheet!C41</f>
        <v>xForm ( A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125</v>
      </c>
      <c r="CI106" s="266">
        <f>FeatSheet!J41</f>
        <v>0</v>
      </c>
      <c r="CJ106" s="266"/>
      <c r="CK106" s="266"/>
      <c r="CL106" s="266"/>
      <c r="CM106" s="265" t="s">
        <v>126</v>
      </c>
      <c r="CN106" s="266">
        <f>ROUNDDOWN(FeatSheet!F41,0)</f>
        <v>0</v>
      </c>
      <c r="CO106" s="266"/>
      <c r="CP106" s="266"/>
      <c r="CQ106" s="266"/>
      <c r="CR106" s="265" t="s">
        <v>126</v>
      </c>
      <c r="CS106" s="297"/>
      <c r="CT106" s="297"/>
      <c r="CU106" s="297"/>
      <c r="CV106" s="297"/>
      <c r="CW106" s="84"/>
    </row>
    <row r="107" spans="1:104" ht="13.5" customHeight="1" x14ac:dyDescent="0.2">
      <c r="A107" s="82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164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165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166</v>
      </c>
      <c r="AV107" s="293"/>
      <c r="AW107" s="293"/>
      <c r="AX107" s="293"/>
      <c r="AY107" s="293"/>
      <c r="AZ107" s="293"/>
      <c r="BA107" s="293"/>
      <c r="BB107" s="293"/>
      <c r="BC107" s="293"/>
      <c r="BD107" s="83"/>
      <c r="BE107" s="83"/>
      <c r="BF107" s="83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4"/>
      <c r="CZ107" s="71">
        <v>39</v>
      </c>
    </row>
    <row r="108" spans="1:104" ht="12.75" customHeight="1" x14ac:dyDescent="0.2">
      <c r="A108" s="82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6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3"/>
      <c r="BE108" s="83"/>
      <c r="BF108" s="83"/>
      <c r="BG108" s="267"/>
      <c r="BH108" s="267"/>
      <c r="BI108" s="268" t="str">
        <f>FeatSheet!C42</f>
        <v>xForm ( B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125</v>
      </c>
      <c r="CI108" s="266">
        <f>FeatSheet!J42</f>
        <v>0</v>
      </c>
      <c r="CJ108" s="266"/>
      <c r="CK108" s="266"/>
      <c r="CL108" s="266"/>
      <c r="CM108" s="265" t="s">
        <v>126</v>
      </c>
      <c r="CN108" s="266">
        <f>ROUNDDOWN(FeatSheet!F42,0)</f>
        <v>0</v>
      </c>
      <c r="CO108" s="266"/>
      <c r="CP108" s="266"/>
      <c r="CQ108" s="266"/>
      <c r="CR108" s="265" t="s">
        <v>126</v>
      </c>
      <c r="CS108" s="297"/>
      <c r="CT108" s="297"/>
      <c r="CU108" s="297"/>
      <c r="CV108" s="297"/>
      <c r="CW108" s="84"/>
    </row>
    <row r="109" spans="1:104" ht="12.75" customHeight="1" x14ac:dyDescent="0.2">
      <c r="A109" s="82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3"/>
      <c r="BE109" s="83"/>
      <c r="BF109" s="83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4"/>
      <c r="CZ109" s="71">
        <v>40</v>
      </c>
    </row>
    <row r="110" spans="1:104" ht="13.5" customHeight="1" x14ac:dyDescent="0.2">
      <c r="A110" s="82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3"/>
      <c r="BE110" s="83"/>
      <c r="BF110" s="83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125</v>
      </c>
      <c r="CI110" s="266">
        <f>FeatSheet!J43</f>
        <v>0</v>
      </c>
      <c r="CJ110" s="266"/>
      <c r="CK110" s="266"/>
      <c r="CL110" s="266"/>
      <c r="CM110" s="265" t="s">
        <v>126</v>
      </c>
      <c r="CN110" s="266">
        <f>ROUNDDOWN(FeatSheet!F43,0)</f>
        <v>0</v>
      </c>
      <c r="CO110" s="266"/>
      <c r="CP110" s="266"/>
      <c r="CQ110" s="266"/>
      <c r="CR110" s="265" t="s">
        <v>126</v>
      </c>
      <c r="CS110" s="297"/>
      <c r="CT110" s="297"/>
      <c r="CU110" s="297"/>
      <c r="CV110" s="297"/>
      <c r="CW110" s="84"/>
    </row>
    <row r="111" spans="1:104" ht="13.5" customHeight="1" thickBot="1" x14ac:dyDescent="0.25">
      <c r="A111" s="82"/>
      <c r="B111" s="284" t="s">
        <v>167</v>
      </c>
      <c r="C111" s="284"/>
      <c r="D111" s="284"/>
      <c r="E111" s="284"/>
      <c r="F111" s="284"/>
      <c r="G111" s="285" t="s">
        <v>109</v>
      </c>
      <c r="H111" s="285"/>
      <c r="I111" s="285"/>
      <c r="J111" s="285"/>
      <c r="K111" s="285"/>
      <c r="L111" s="285" t="s">
        <v>168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106</v>
      </c>
      <c r="V111" s="285"/>
      <c r="W111" s="285"/>
      <c r="X111" s="285"/>
      <c r="Y111" s="285"/>
      <c r="Z111" s="285"/>
      <c r="AA111" s="291" t="s">
        <v>169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3"/>
      <c r="BE111" s="83"/>
      <c r="BF111" s="83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4"/>
      <c r="CZ111" s="71">
        <v>41</v>
      </c>
    </row>
    <row r="112" spans="1:104" ht="12.75" customHeight="1" thickBot="1" x14ac:dyDescent="0.25">
      <c r="A112" s="82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3"/>
      <c r="BE112" s="83"/>
      <c r="BF112" s="83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125</v>
      </c>
      <c r="CI112" s="266">
        <f>FeatSheet!J44</f>
        <v>0</v>
      </c>
      <c r="CJ112" s="266"/>
      <c r="CK112" s="266"/>
      <c r="CL112" s="266"/>
      <c r="CM112" s="265" t="s">
        <v>126</v>
      </c>
      <c r="CN112" s="266">
        <f>ROUNDDOWN(FeatSheet!F44,0)</f>
        <v>0</v>
      </c>
      <c r="CO112" s="266"/>
      <c r="CP112" s="266"/>
      <c r="CQ112" s="266"/>
      <c r="CR112" s="265" t="s">
        <v>126</v>
      </c>
      <c r="CS112" s="297"/>
      <c r="CT112" s="297"/>
      <c r="CU112" s="297"/>
      <c r="CV112" s="297"/>
      <c r="CW112" s="84"/>
    </row>
    <row r="113" spans="1:104" ht="12.75" customHeight="1" thickBot="1" x14ac:dyDescent="0.25">
      <c r="A113" s="82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3"/>
      <c r="BE113" s="83"/>
      <c r="BF113" s="83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4"/>
      <c r="CZ113" s="71">
        <v>42</v>
      </c>
    </row>
    <row r="114" spans="1:104" ht="13.5" customHeight="1" thickBot="1" x14ac:dyDescent="0.25">
      <c r="A114" s="82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3"/>
      <c r="BE114" s="83"/>
      <c r="BF114" s="83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125</v>
      </c>
      <c r="CI114" s="266">
        <f>FeatSheet!J45</f>
        <v>0</v>
      </c>
      <c r="CJ114" s="266"/>
      <c r="CK114" s="266"/>
      <c r="CL114" s="266"/>
      <c r="CM114" s="265" t="s">
        <v>126</v>
      </c>
      <c r="CN114" s="266">
        <f>ROUNDDOWN(FeatSheet!F45,0)</f>
        <v>0</v>
      </c>
      <c r="CO114" s="266"/>
      <c r="CP114" s="266"/>
      <c r="CQ114" s="266"/>
      <c r="CR114" s="265" t="s">
        <v>126</v>
      </c>
      <c r="CS114" s="297"/>
      <c r="CT114" s="297"/>
      <c r="CU114" s="297"/>
      <c r="CV114" s="29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125</v>
      </c>
      <c r="CI116" s="266">
        <f>FeatSheet!J46</f>
        <v>0</v>
      </c>
      <c r="CJ116" s="266"/>
      <c r="CK116" s="266"/>
      <c r="CL116" s="266"/>
      <c r="CM116" s="265" t="s">
        <v>126</v>
      </c>
      <c r="CN116" s="266">
        <f>ROUNDDOWN(FeatSheet!F46,0)</f>
        <v>0</v>
      </c>
      <c r="CO116" s="266"/>
      <c r="CP116" s="266"/>
      <c r="CQ116" s="266"/>
      <c r="CR116" s="265" t="s">
        <v>126</v>
      </c>
      <c r="CS116" s="297"/>
      <c r="CT116" s="297"/>
      <c r="CU116" s="297"/>
      <c r="CV116" s="297"/>
      <c r="CW116" s="84"/>
    </row>
    <row r="117" spans="1:104" ht="12.75" customHeight="1" x14ac:dyDescent="0.2">
      <c r="A117" s="82"/>
      <c r="B117" s="300" t="s">
        <v>170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4"/>
      <c r="CZ117" s="71">
        <v>44</v>
      </c>
    </row>
    <row r="118" spans="1:104" ht="12.75" customHeight="1" x14ac:dyDescent="0.2">
      <c r="A118" s="82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168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129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171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3"/>
      <c r="BE118" s="83"/>
      <c r="BF118" s="83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125</v>
      </c>
      <c r="CI118" s="266">
        <f>FeatSheet!J47</f>
        <v>0</v>
      </c>
      <c r="CJ118" s="266"/>
      <c r="CK118" s="266"/>
      <c r="CL118" s="266"/>
      <c r="CM118" s="265" t="s">
        <v>126</v>
      </c>
      <c r="CN118" s="266">
        <f>ROUNDDOWN(FeatSheet!F47,0)</f>
        <v>0</v>
      </c>
      <c r="CO118" s="266"/>
      <c r="CP118" s="266"/>
      <c r="CQ118" s="266"/>
      <c r="CR118" s="265" t="s">
        <v>126</v>
      </c>
      <c r="CS118" s="297"/>
      <c r="CT118" s="297"/>
      <c r="CU118" s="297"/>
      <c r="CV118" s="297"/>
      <c r="CW118" s="84"/>
    </row>
    <row r="119" spans="1:104" ht="12.75" customHeight="1" x14ac:dyDescent="0.2">
      <c r="A119" s="82"/>
      <c r="B119" s="298" t="s">
        <v>172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3"/>
      <c r="BE119" s="83"/>
      <c r="BF119" s="83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4"/>
    </row>
    <row r="120" spans="1:104" ht="12.75" customHeight="1" x14ac:dyDescent="0.2">
      <c r="A120" s="82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3"/>
      <c r="BE120" s="83"/>
      <c r="BF120" s="83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125</v>
      </c>
      <c r="CI120" s="266">
        <f>FeatSheet!J48</f>
        <v>0</v>
      </c>
      <c r="CJ120" s="266"/>
      <c r="CK120" s="266"/>
      <c r="CL120" s="266"/>
      <c r="CM120" s="265" t="s">
        <v>126</v>
      </c>
      <c r="CN120" s="266">
        <f>ROUNDDOWN(FeatSheet!F48,0)</f>
        <v>0</v>
      </c>
      <c r="CO120" s="266"/>
      <c r="CP120" s="266"/>
      <c r="CQ120" s="266"/>
      <c r="CR120" s="265" t="s">
        <v>126</v>
      </c>
      <c r="CS120" s="297"/>
      <c r="CT120" s="297"/>
      <c r="CU120" s="297"/>
      <c r="CV120" s="297"/>
      <c r="CW120" s="84"/>
    </row>
    <row r="121" spans="1:104" ht="12.75" customHeight="1" x14ac:dyDescent="0.2">
      <c r="A121" s="82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3"/>
      <c r="BE121" s="83"/>
      <c r="BF121" s="83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4"/>
      <c r="CZ121" s="71">
        <v>45</v>
      </c>
    </row>
    <row r="122" spans="1:104" ht="13.5" customHeight="1" x14ac:dyDescent="0.2">
      <c r="A122" s="82"/>
      <c r="B122" s="284" t="s">
        <v>173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121</v>
      </c>
      <c r="Q122" s="285"/>
      <c r="R122" s="285"/>
      <c r="S122" s="285"/>
      <c r="T122" s="285"/>
      <c r="U122" s="285" t="s">
        <v>109</v>
      </c>
      <c r="V122" s="285"/>
      <c r="W122" s="285"/>
      <c r="X122" s="285"/>
      <c r="Y122" s="285"/>
      <c r="Z122" s="291" t="s">
        <v>169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3"/>
      <c r="BE122" s="83"/>
      <c r="BF122" s="83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125</v>
      </c>
      <c r="CI122" s="266"/>
      <c r="CJ122" s="266"/>
      <c r="CK122" s="266"/>
      <c r="CL122" s="266"/>
      <c r="CM122" s="265" t="s">
        <v>126</v>
      </c>
      <c r="CN122" s="266">
        <f>ROUNDDOWN(FeatSheet!F49,0)</f>
        <v>0</v>
      </c>
      <c r="CO122" s="266"/>
      <c r="CP122" s="266"/>
      <c r="CQ122" s="266"/>
      <c r="CR122" s="265" t="s">
        <v>126</v>
      </c>
      <c r="CS122" s="297"/>
      <c r="CT122" s="297"/>
      <c r="CU122" s="297"/>
      <c r="CV122" s="297"/>
      <c r="CW122" s="84"/>
    </row>
    <row r="123" spans="1:104" ht="12.75" customHeight="1" x14ac:dyDescent="0.2">
      <c r="A123" s="82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3"/>
      <c r="BE123" s="83"/>
      <c r="BF123" s="83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4"/>
      <c r="CZ123" s="71">
        <v>46</v>
      </c>
    </row>
    <row r="124" spans="1:104" ht="12.75" customHeight="1" x14ac:dyDescent="0.2">
      <c r="A124" s="82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3"/>
      <c r="BE124" s="83"/>
      <c r="BF124" s="83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125</v>
      </c>
      <c r="CI124" s="266"/>
      <c r="CJ124" s="266"/>
      <c r="CK124" s="266"/>
      <c r="CL124" s="266"/>
      <c r="CM124" s="265" t="s">
        <v>126</v>
      </c>
      <c r="CN124" s="266">
        <f>ROUNDDOWN(FeatSheet!F50,0)</f>
        <v>0</v>
      </c>
      <c r="CO124" s="266"/>
      <c r="CP124" s="266"/>
      <c r="CQ124" s="266"/>
      <c r="CR124" s="265" t="s">
        <v>126</v>
      </c>
      <c r="CS124" s="297"/>
      <c r="CT124" s="297"/>
      <c r="CU124" s="297"/>
      <c r="CV124" s="297"/>
      <c r="CW124" s="84"/>
    </row>
    <row r="125" spans="1:104" ht="13.5" customHeight="1" x14ac:dyDescent="0.2">
      <c r="A125" s="82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3"/>
      <c r="BE125" s="83"/>
      <c r="BF125" s="83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125</v>
      </c>
      <c r="CI126" s="297"/>
      <c r="CJ126" s="297"/>
      <c r="CK126" s="297"/>
      <c r="CL126" s="297"/>
      <c r="CM126" s="265" t="s">
        <v>126</v>
      </c>
      <c r="CN126" s="266"/>
      <c r="CO126" s="266"/>
      <c r="CP126" s="266"/>
      <c r="CQ126" s="266"/>
      <c r="CR126" s="265" t="s">
        <v>126</v>
      </c>
      <c r="CS126" s="297"/>
      <c r="CT126" s="297"/>
      <c r="CU126" s="297"/>
      <c r="CV126" s="297"/>
      <c r="CW126" s="84"/>
    </row>
    <row r="127" spans="1:104" ht="12.75" customHeight="1" x14ac:dyDescent="0.2">
      <c r="A127" s="82"/>
      <c r="B127" s="300" t="s">
        <v>174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4"/>
      <c r="CZ127" s="71">
        <v>48</v>
      </c>
    </row>
    <row r="128" spans="1:104" ht="12.75" customHeight="1" x14ac:dyDescent="0.2">
      <c r="A128" s="82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129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109</v>
      </c>
      <c r="AI128" s="293"/>
      <c r="AJ128" s="293"/>
      <c r="AK128" s="293"/>
      <c r="AL128" s="293"/>
      <c r="AM128" s="293"/>
      <c r="AN128" s="293" t="s">
        <v>173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3"/>
      <c r="BE128" s="83"/>
      <c r="BF128" s="83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125</v>
      </c>
      <c r="CI128" s="297"/>
      <c r="CJ128" s="297"/>
      <c r="CK128" s="297"/>
      <c r="CL128" s="297"/>
      <c r="CM128" s="265" t="s">
        <v>126</v>
      </c>
      <c r="CN128" s="266"/>
      <c r="CO128" s="266"/>
      <c r="CP128" s="266"/>
      <c r="CQ128" s="266"/>
      <c r="CR128" s="265" t="s">
        <v>126</v>
      </c>
      <c r="CS128" s="297"/>
      <c r="CT128" s="297"/>
      <c r="CU128" s="297"/>
      <c r="CV128" s="297"/>
      <c r="CW128" s="84"/>
    </row>
    <row r="129" spans="1:104" ht="13.5" customHeight="1" x14ac:dyDescent="0.2">
      <c r="A129" s="82"/>
      <c r="B129" s="298" t="s">
        <v>172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3"/>
      <c r="BE129" s="83"/>
      <c r="BF129" s="83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4"/>
      <c r="CZ129" s="71">
        <v>49</v>
      </c>
    </row>
    <row r="130" spans="1:104" ht="12.75" customHeight="1" x14ac:dyDescent="0.2">
      <c r="A130" s="82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7" t="s">
        <v>169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3"/>
      <c r="BE134" s="83"/>
      <c r="BF134" s="83"/>
      <c r="BG134" s="308" t="s">
        <v>235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4"/>
    </row>
    <row r="135" spans="1:104" ht="13.5" customHeight="1" x14ac:dyDescent="0.2">
      <c r="A135" s="82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3"/>
      <c r="BE135" s="83"/>
      <c r="BF135" s="83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8" t="s">
        <v>234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4"/>
    </row>
    <row r="137" spans="1:104" ht="12.75" customHeight="1" x14ac:dyDescent="0.2">
      <c r="A137" s="82"/>
      <c r="BD137" s="83"/>
      <c r="BE137" s="83"/>
      <c r="BF137" s="83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4"/>
    </row>
    <row r="138" spans="1:104" ht="27" x14ac:dyDescent="0.35">
      <c r="A138" s="82"/>
      <c r="B138" s="102"/>
      <c r="N138" s="305"/>
      <c r="O138" s="305"/>
      <c r="P138" s="305"/>
      <c r="Q138" s="305"/>
      <c r="R138" s="3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6" t="str">
        <f>FeatSheet!AE3</f>
        <v xml:space="preserve">Appraise 2, Climb/Jump* 0, Craft ( Tools ) 2, Craft ( B ) 2, Craft ( C ) 2, Craft ( D ) 2, Deception 7, Diplomacy 7, Disguise 3, Escape Artist* 2, Forgery 2, Heal 1, Knowledge (Geography ) 5, Perception 1, Perform 3, Profession ( Farmer ) 5, Profession ( Border Guard ) 5, Ride 4, Search 2, Sense Motive 5, Stealth* 6, Swim 0, Urban Lore 4, Use Rope 3, Wilderness Lore 3,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 x14ac:dyDescent="0.2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 x14ac:dyDescent="0.2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 x14ac:dyDescent="0.2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 x14ac:dyDescent="0.2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 x14ac:dyDescent="0.2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 x14ac:dyDescent="0.2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 x14ac:dyDescent="0.2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 x14ac:dyDescent="0.2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 x14ac:dyDescent="0.2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 x14ac:dyDescent="0.2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 x14ac:dyDescent="0.2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 x14ac:dyDescent="0.2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 x14ac:dyDescent="0.2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 x14ac:dyDescent="0.2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 x14ac:dyDescent="0.2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 x14ac:dyDescent="0.2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 x14ac:dyDescent="0.2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 x14ac:dyDescent="0.2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 x14ac:dyDescent="0.2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 x14ac:dyDescent="0.2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 x14ac:dyDescent="0.2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 x14ac:dyDescent="0.2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 x14ac:dyDescent="0.2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 x14ac:dyDescent="0.2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 x14ac:dyDescent="0.2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 x14ac:dyDescent="0.2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 x14ac:dyDescent="0.2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 x14ac:dyDescent="0.2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 x14ac:dyDescent="0.2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 x14ac:dyDescent="0.2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281</v>
      </c>
      <c r="M1" s="8" t="s">
        <v>236</v>
      </c>
      <c r="O1" s="145">
        <f>[0]!INTMOD</f>
        <v>2</v>
      </c>
    </row>
    <row r="2" spans="1:17" ht="13.5" thickBot="1" x14ac:dyDescent="0.25">
      <c r="N2" s="8" t="s">
        <v>287</v>
      </c>
      <c r="O2" s="8" t="s">
        <v>288</v>
      </c>
    </row>
    <row r="3" spans="1:17" ht="13.5" thickBot="1" x14ac:dyDescent="0.25">
      <c r="A3" s="116" t="s">
        <v>313</v>
      </c>
      <c r="B3" s="117" t="s">
        <v>237</v>
      </c>
      <c r="C3" s="118" t="s">
        <v>238</v>
      </c>
      <c r="D3" s="118" t="s">
        <v>239</v>
      </c>
      <c r="E3" s="118" t="s">
        <v>240</v>
      </c>
      <c r="F3" s="118" t="s">
        <v>241</v>
      </c>
      <c r="G3" s="118" t="s">
        <v>242</v>
      </c>
      <c r="H3" s="119" t="s">
        <v>186</v>
      </c>
      <c r="I3" s="120" t="s">
        <v>243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245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246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280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247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248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249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250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251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315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252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253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254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255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256</v>
      </c>
    </row>
    <row r="21" spans="1:13" x14ac:dyDescent="0.2">
      <c r="A21" s="116" t="s">
        <v>316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257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258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259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260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261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262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263</v>
      </c>
    </row>
    <row r="28" spans="1:13" x14ac:dyDescent="0.2">
      <c r="A28" s="116" t="s">
        <v>317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264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265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266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267</v>
      </c>
    </row>
    <row r="33" spans="1:17" x14ac:dyDescent="0.2">
      <c r="A33" s="116" t="s">
        <v>280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268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269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270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271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272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273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274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275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276</v>
      </c>
      <c r="Q42" t="s">
        <v>277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278</v>
      </c>
      <c r="Q43" t="s">
        <v>279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175</v>
      </c>
    </row>
    <row r="2" spans="2:11" x14ac:dyDescent="0.2">
      <c r="B2" s="155"/>
    </row>
    <row r="3" spans="2:11" x14ac:dyDescent="0.2">
      <c r="B3" s="155" t="s">
        <v>176</v>
      </c>
    </row>
    <row r="5" spans="2:11" x14ac:dyDescent="0.2">
      <c r="B5" s="154" t="s">
        <v>177</v>
      </c>
      <c r="D5" s="156">
        <v>1.8</v>
      </c>
      <c r="E5" s="154" t="s">
        <v>231</v>
      </c>
    </row>
    <row r="6" spans="2:11" ht="12.75" customHeight="1" x14ac:dyDescent="0.2">
      <c r="B6" s="154" t="s">
        <v>178</v>
      </c>
      <c r="D6" s="157">
        <v>12</v>
      </c>
      <c r="E6" s="154" t="s">
        <v>179</v>
      </c>
      <c r="K6" s="158"/>
    </row>
    <row r="7" spans="2:11" ht="12.75" customHeight="1" x14ac:dyDescent="0.2">
      <c r="B7" s="154" t="s">
        <v>180</v>
      </c>
      <c r="D7" s="200" t="s">
        <v>302</v>
      </c>
      <c r="E7" s="154" t="s">
        <v>181</v>
      </c>
    </row>
    <row r="8" spans="2:11" ht="13.5" customHeight="1" x14ac:dyDescent="0.2">
      <c r="B8" s="154" t="s">
        <v>182</v>
      </c>
      <c r="D8" s="159">
        <f>'Character Sheet'!CD36</f>
        <v>0</v>
      </c>
      <c r="E8" s="154" t="s">
        <v>183</v>
      </c>
    </row>
    <row r="10" spans="2:11" x14ac:dyDescent="0.2">
      <c r="D10" s="309" t="s">
        <v>184</v>
      </c>
      <c r="E10" s="309"/>
      <c r="F10" s="309"/>
      <c r="G10" s="309"/>
      <c r="H10" s="309"/>
    </row>
    <row r="11" spans="2:11" x14ac:dyDescent="0.2">
      <c r="B11" s="160" t="s">
        <v>185</v>
      </c>
      <c r="C11" s="161" t="s">
        <v>186</v>
      </c>
      <c r="D11" s="162" t="s">
        <v>187</v>
      </c>
      <c r="E11" s="163" t="s">
        <v>188</v>
      </c>
      <c r="F11" s="164" t="s">
        <v>187</v>
      </c>
      <c r="G11" s="164" t="s">
        <v>188</v>
      </c>
      <c r="H11" s="160" t="s">
        <v>189</v>
      </c>
    </row>
    <row r="12" spans="2:11" x14ac:dyDescent="0.2">
      <c r="B12" s="165" t="s">
        <v>190</v>
      </c>
      <c r="C12" s="166" t="s">
        <v>191</v>
      </c>
      <c r="D12" s="162" t="s">
        <v>192</v>
      </c>
      <c r="E12" s="167" t="s">
        <v>193</v>
      </c>
      <c r="F12" s="164" t="s">
        <v>194</v>
      </c>
      <c r="G12" s="164" t="s">
        <v>195</v>
      </c>
      <c r="H12" s="168" t="s">
        <v>196</v>
      </c>
    </row>
    <row r="13" spans="2:11" x14ac:dyDescent="0.2">
      <c r="B13" s="169">
        <v>1</v>
      </c>
      <c r="C13" s="170">
        <f t="shared" ref="C13:C32" si="0">B13+$D$8</f>
        <v>1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2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3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4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5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6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7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8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 x14ac:dyDescent="0.2">
      <c r="B21" s="173">
        <v>9</v>
      </c>
      <c r="C21" s="174">
        <f t="shared" si="0"/>
        <v>9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 x14ac:dyDescent="0.2">
      <c r="B22" s="173">
        <v>10</v>
      </c>
      <c r="C22" s="174">
        <f t="shared" si="0"/>
        <v>10</v>
      </c>
      <c r="D22" s="175">
        <f t="shared" si="5"/>
        <v>2.4000000000000004</v>
      </c>
      <c r="E22" s="175">
        <f t="shared" si="1"/>
        <v>1.4400000000000004</v>
      </c>
      <c r="F22" s="175">
        <f t="shared" si="2"/>
        <v>0.96</v>
      </c>
      <c r="G22" s="175">
        <f t="shared" si="3"/>
        <v>0.96</v>
      </c>
      <c r="H22" s="176">
        <f t="shared" si="4"/>
        <v>0.48</v>
      </c>
    </row>
    <row r="23" spans="2:8" x14ac:dyDescent="0.2">
      <c r="B23" s="173">
        <v>11</v>
      </c>
      <c r="C23" s="174">
        <f t="shared" si="0"/>
        <v>11</v>
      </c>
      <c r="D23" s="175">
        <f t="shared" si="5"/>
        <v>2.88</v>
      </c>
      <c r="E23" s="175">
        <f t="shared" si="1"/>
        <v>1.6800000000000002</v>
      </c>
      <c r="F23" s="175">
        <f t="shared" si="2"/>
        <v>1.08</v>
      </c>
      <c r="G23" s="175">
        <f t="shared" si="3"/>
        <v>1.02</v>
      </c>
      <c r="H23" s="176">
        <f t="shared" si="4"/>
        <v>0.54</v>
      </c>
    </row>
    <row r="24" spans="2:8" x14ac:dyDescent="0.2">
      <c r="B24" s="173">
        <v>12</v>
      </c>
      <c r="C24" s="174">
        <f t="shared" si="0"/>
        <v>12</v>
      </c>
      <c r="D24" s="175">
        <f t="shared" si="5"/>
        <v>3.3599999999999994</v>
      </c>
      <c r="E24" s="175">
        <f t="shared" si="1"/>
        <v>1.92</v>
      </c>
      <c r="F24" s="175">
        <f t="shared" si="2"/>
        <v>1.2000000000000002</v>
      </c>
      <c r="G24" s="175">
        <f t="shared" si="3"/>
        <v>1.08</v>
      </c>
      <c r="H24" s="176">
        <f t="shared" si="4"/>
        <v>0.60000000000000009</v>
      </c>
    </row>
    <row r="25" spans="2:8" x14ac:dyDescent="0.2">
      <c r="B25" s="173">
        <v>13</v>
      </c>
      <c r="C25" s="174">
        <f t="shared" si="0"/>
        <v>13</v>
      </c>
      <c r="D25" s="175">
        <f t="shared" si="5"/>
        <v>3.84</v>
      </c>
      <c r="E25" s="175">
        <f t="shared" si="1"/>
        <v>2.16</v>
      </c>
      <c r="F25" s="175">
        <f t="shared" si="2"/>
        <v>1.3200000000000003</v>
      </c>
      <c r="G25" s="175">
        <f t="shared" si="3"/>
        <v>1.1400000000000001</v>
      </c>
      <c r="H25" s="176">
        <f t="shared" si="4"/>
        <v>0.66000000000000014</v>
      </c>
    </row>
    <row r="26" spans="2:8" x14ac:dyDescent="0.2">
      <c r="B26" s="173">
        <v>14</v>
      </c>
      <c r="C26" s="174">
        <f t="shared" si="0"/>
        <v>14</v>
      </c>
      <c r="D26" s="175">
        <f t="shared" si="5"/>
        <v>4.32</v>
      </c>
      <c r="E26" s="175">
        <f t="shared" si="1"/>
        <v>2.4000000000000004</v>
      </c>
      <c r="F26" s="175">
        <f t="shared" si="2"/>
        <v>1.4400000000000004</v>
      </c>
      <c r="G26" s="175">
        <f t="shared" si="3"/>
        <v>1.2000000000000002</v>
      </c>
      <c r="H26" s="176">
        <f t="shared" si="4"/>
        <v>0.7200000000000002</v>
      </c>
    </row>
    <row r="27" spans="2:8" x14ac:dyDescent="0.2">
      <c r="B27" s="173">
        <v>15</v>
      </c>
      <c r="C27" s="174">
        <f t="shared" si="0"/>
        <v>15</v>
      </c>
      <c r="D27" s="175">
        <f t="shared" si="5"/>
        <v>4.8000000000000007</v>
      </c>
      <c r="E27" s="175">
        <f t="shared" si="1"/>
        <v>2.6400000000000006</v>
      </c>
      <c r="F27" s="175">
        <f t="shared" si="2"/>
        <v>1.56</v>
      </c>
      <c r="G27" s="175">
        <f t="shared" si="3"/>
        <v>1.2600000000000002</v>
      </c>
      <c r="H27" s="176">
        <f t="shared" si="4"/>
        <v>0.78</v>
      </c>
    </row>
    <row r="28" spans="2:8" x14ac:dyDescent="0.2">
      <c r="B28" s="173">
        <v>16</v>
      </c>
      <c r="C28" s="174">
        <f t="shared" si="0"/>
        <v>16</v>
      </c>
      <c r="D28" s="175">
        <f t="shared" si="5"/>
        <v>5.2800000000000011</v>
      </c>
      <c r="E28" s="175">
        <f t="shared" si="1"/>
        <v>2.8800000000000008</v>
      </c>
      <c r="F28" s="175">
        <f t="shared" si="2"/>
        <v>1.6800000000000002</v>
      </c>
      <c r="G28" s="175">
        <f t="shared" si="3"/>
        <v>1.3200000000000003</v>
      </c>
      <c r="H28" s="176">
        <f t="shared" si="4"/>
        <v>0.84000000000000008</v>
      </c>
    </row>
    <row r="29" spans="2:8" x14ac:dyDescent="0.2">
      <c r="B29" s="173">
        <v>17</v>
      </c>
      <c r="C29" s="174">
        <f t="shared" si="0"/>
        <v>17</v>
      </c>
      <c r="D29" s="175">
        <f t="shared" si="5"/>
        <v>5.7600000000000016</v>
      </c>
      <c r="E29" s="175">
        <f t="shared" si="1"/>
        <v>3.120000000000001</v>
      </c>
      <c r="F29" s="175">
        <f t="shared" si="2"/>
        <v>1.7999999999999998</v>
      </c>
      <c r="G29" s="175">
        <f t="shared" si="3"/>
        <v>1.3800000000000003</v>
      </c>
      <c r="H29" s="176">
        <f t="shared" si="4"/>
        <v>0.89999999999999991</v>
      </c>
    </row>
    <row r="30" spans="2:8" x14ac:dyDescent="0.2">
      <c r="B30" s="173">
        <v>18</v>
      </c>
      <c r="C30" s="174">
        <f t="shared" si="0"/>
        <v>18</v>
      </c>
      <c r="D30" s="175">
        <f t="shared" si="5"/>
        <v>6.24</v>
      </c>
      <c r="E30" s="175">
        <f t="shared" si="1"/>
        <v>3.3600000000000003</v>
      </c>
      <c r="F30" s="175">
        <f t="shared" si="2"/>
        <v>1.92</v>
      </c>
      <c r="G30" s="175">
        <f t="shared" si="3"/>
        <v>1.4400000000000004</v>
      </c>
      <c r="H30" s="176">
        <f t="shared" si="4"/>
        <v>0.96</v>
      </c>
    </row>
    <row r="31" spans="2:8" x14ac:dyDescent="0.2">
      <c r="B31" s="173">
        <v>19</v>
      </c>
      <c r="C31" s="174">
        <f t="shared" si="0"/>
        <v>19</v>
      </c>
      <c r="D31" s="175">
        <f t="shared" si="5"/>
        <v>6.7199999999999989</v>
      </c>
      <c r="E31" s="175">
        <f t="shared" si="1"/>
        <v>3.5999999999999996</v>
      </c>
      <c r="F31" s="175">
        <f t="shared" si="2"/>
        <v>2.04</v>
      </c>
      <c r="G31" s="175">
        <f t="shared" si="3"/>
        <v>1.5</v>
      </c>
      <c r="H31" s="176">
        <f t="shared" si="4"/>
        <v>1.02</v>
      </c>
    </row>
    <row r="32" spans="2:8" x14ac:dyDescent="0.2">
      <c r="B32" s="177">
        <v>20</v>
      </c>
      <c r="C32" s="178">
        <f t="shared" si="0"/>
        <v>20</v>
      </c>
      <c r="D32" s="179">
        <f t="shared" si="5"/>
        <v>7.1999999999999993</v>
      </c>
      <c r="E32" s="179">
        <f t="shared" si="1"/>
        <v>3.84</v>
      </c>
      <c r="F32" s="179">
        <f t="shared" si="2"/>
        <v>2.16</v>
      </c>
      <c r="G32" s="179">
        <f t="shared" si="3"/>
        <v>1.56</v>
      </c>
      <c r="H32" s="180">
        <f t="shared" si="4"/>
        <v>1.08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197</v>
      </c>
      <c r="E34" s="155" t="s">
        <v>198</v>
      </c>
      <c r="F34" s="155" t="s">
        <v>199</v>
      </c>
      <c r="G34" s="155" t="s">
        <v>200</v>
      </c>
    </row>
    <row r="35" spans="2:9" x14ac:dyDescent="0.2">
      <c r="B35" s="154" t="s">
        <v>201</v>
      </c>
      <c r="E35" s="182">
        <f>$D$5*(6*(6.5/5))</f>
        <v>14.040000000000001</v>
      </c>
      <c r="F35" s="183">
        <v>2</v>
      </c>
      <c r="G35" s="184" t="s">
        <v>289</v>
      </c>
      <c r="H35" s="185"/>
      <c r="I35" s="186"/>
    </row>
    <row r="36" spans="2:9" x14ac:dyDescent="0.2">
      <c r="B36" s="154" t="s">
        <v>202</v>
      </c>
      <c r="E36" s="187">
        <f>$D$5*(2*(6.5/5))</f>
        <v>4.6800000000000006</v>
      </c>
      <c r="F36" s="188">
        <f>3*0.4</f>
        <v>1.2000000000000002</v>
      </c>
      <c r="G36" s="189" t="s">
        <v>290</v>
      </c>
      <c r="H36" s="190"/>
      <c r="I36" s="191"/>
    </row>
    <row r="37" spans="2:9" x14ac:dyDescent="0.2">
      <c r="B37" s="154" t="s">
        <v>203</v>
      </c>
      <c r="E37" s="187">
        <f>$D$5*(1.5*(6.5/5))</f>
        <v>3.5100000000000002</v>
      </c>
      <c r="F37" s="188">
        <f>2*0.4</f>
        <v>0.8</v>
      </c>
      <c r="G37" s="189" t="s">
        <v>291</v>
      </c>
      <c r="H37" s="190"/>
      <c r="I37" s="191"/>
    </row>
    <row r="38" spans="2:9" x14ac:dyDescent="0.2">
      <c r="B38" s="154" t="s">
        <v>204</v>
      </c>
      <c r="E38" s="187">
        <f>$D$5*(1*(6.5/5))</f>
        <v>2.3400000000000003</v>
      </c>
      <c r="F38" s="188">
        <f>2*0.4</f>
        <v>0.8</v>
      </c>
      <c r="G38" s="189" t="s">
        <v>292</v>
      </c>
      <c r="H38" s="190"/>
      <c r="I38" s="191"/>
    </row>
    <row r="39" spans="2:9" x14ac:dyDescent="0.2">
      <c r="B39" s="154" t="s">
        <v>205</v>
      </c>
      <c r="E39" s="192">
        <f>$D$5*(1*(6.5/5))</f>
        <v>2.3400000000000003</v>
      </c>
      <c r="F39" s="193">
        <f>1*0.4</f>
        <v>0.4</v>
      </c>
      <c r="G39" s="194" t="s">
        <v>292</v>
      </c>
      <c r="H39" s="195"/>
      <c r="I39" s="196"/>
    </row>
    <row r="41" spans="2:9" x14ac:dyDescent="0.2">
      <c r="B41" s="197" t="s">
        <v>206</v>
      </c>
    </row>
    <row r="42" spans="2:9" x14ac:dyDescent="0.2">
      <c r="B42" s="198"/>
      <c r="C42" s="197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303</v>
      </c>
    </row>
    <row r="3" spans="1:5" x14ac:dyDescent="0.2">
      <c r="A3" s="8" t="s">
        <v>304</v>
      </c>
      <c r="E3" s="8" t="s">
        <v>312</v>
      </c>
    </row>
    <row r="4" spans="1:5" x14ac:dyDescent="0.2">
      <c r="A4" s="201" t="s">
        <v>305</v>
      </c>
      <c r="B4" s="201" t="s">
        <v>306</v>
      </c>
      <c r="C4" s="201" t="s">
        <v>307</v>
      </c>
    </row>
    <row r="8" spans="1:5" x14ac:dyDescent="0.2">
      <c r="A8" s="8" t="s">
        <v>308</v>
      </c>
    </row>
    <row r="9" spans="1:5" x14ac:dyDescent="0.2">
      <c r="A9" s="201" t="s">
        <v>309</v>
      </c>
      <c r="B9" s="201" t="s">
        <v>310</v>
      </c>
      <c r="C9" s="201" t="s">
        <v>311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Brad Mclaren</cp:lastModifiedBy>
  <cp:lastPrinted>2018-06-30T04:31:52Z</cp:lastPrinted>
  <dcterms:created xsi:type="dcterms:W3CDTF">2013-08-22T12:06:55Z</dcterms:created>
  <dcterms:modified xsi:type="dcterms:W3CDTF">2019-01-21T11:21:29Z</dcterms:modified>
</cp:coreProperties>
</file>